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600" windowHeight="9975" tabRatio="819" activeTab="16"/>
  </bookViews>
  <sheets>
    <sheet name="1" sheetId="1" r:id="rId1"/>
    <sheet name="2" sheetId="2" r:id="rId2"/>
    <sheet name="3" sheetId="3" r:id="rId3"/>
    <sheet name="4" sheetId="5" r:id="rId4"/>
    <sheet name="5" sheetId="4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7" r:id="rId11"/>
    <sheet name="12" sheetId="11" r:id="rId12"/>
    <sheet name="13" sheetId="34" r:id="rId13"/>
    <sheet name="14" sheetId="14" r:id="rId14"/>
    <sheet name="15" sheetId="29" r:id="rId15"/>
    <sheet name="16" sheetId="33" r:id="rId16"/>
    <sheet name="17" sheetId="25" r:id="rId17"/>
    <sheet name="18" sheetId="26" r:id="rId18"/>
    <sheet name="19" sheetId="28" r:id="rId19"/>
    <sheet name="20" sheetId="27" r:id="rId20"/>
    <sheet name="21" sheetId="30" r:id="rId21"/>
    <sheet name="22" sheetId="31" r:id="rId22"/>
    <sheet name="23" sheetId="32" r:id="rId23"/>
    <sheet name="24" sheetId="12" r:id="rId24"/>
    <sheet name="25" sheetId="15" r:id="rId25"/>
    <sheet name="26" sheetId="23" r:id="rId26"/>
    <sheet name="27" sheetId="38" r:id="rId27"/>
    <sheet name="28" sheetId="24" r:id="rId28"/>
    <sheet name="29" sheetId="21" r:id="rId29"/>
    <sheet name="30" sheetId="22" r:id="rId30"/>
    <sheet name="31" sheetId="37" r:id="rId31"/>
    <sheet name="32" sheetId="35" r:id="rId32"/>
  </sheets>
  <externalReferences>
    <externalReference r:id="rId33"/>
  </externalReferences>
  <definedNames>
    <definedName name="_xlnm.Print_Area" localSheetId="0">'1'!$A$1:$G$25</definedName>
    <definedName name="_xlnm.Print_Area" localSheetId="9">'10'!$A$1:$J$25</definedName>
    <definedName name="_xlnm.Print_Area" localSheetId="10">'11'!$A$1:$J$26</definedName>
    <definedName name="_xlnm.Print_Area" localSheetId="11">'12'!$A$1:$K$25</definedName>
    <definedName name="_xlnm.Print_Area" localSheetId="12">'13'!$A$1:$K$25</definedName>
    <definedName name="_xlnm.Print_Area" localSheetId="13">'14'!$A$1:$J$25</definedName>
    <definedName name="_xlnm.Print_Area" localSheetId="14">'15'!$A$1:$AD$25</definedName>
    <definedName name="_xlnm.Print_Area" localSheetId="15">'16'!$A$1:$S$25</definedName>
    <definedName name="_xlnm.Print_Area" localSheetId="16">'17'!$A$1:$U$26</definedName>
    <definedName name="_xlnm.Print_Area" localSheetId="17">'18'!$A$1:$G$25</definedName>
    <definedName name="_xlnm.Print_Area" localSheetId="18">'19'!$A$1:$L$26</definedName>
    <definedName name="_xlnm.Print_Area" localSheetId="1">'2'!$A$1:$F$21</definedName>
    <definedName name="_xlnm.Print_Area" localSheetId="19">'20'!$A$1:$O$26</definedName>
    <definedName name="_xlnm.Print_Area" localSheetId="20">'21'!$A$1:$H$25</definedName>
    <definedName name="_xlnm.Print_Area" localSheetId="21">'22'!$A$1:$K$25</definedName>
    <definedName name="_xlnm.Print_Area" localSheetId="22">'23'!$A$1:$D$23</definedName>
    <definedName name="_xlnm.Print_Area" localSheetId="23">'24'!$A$1:$L$22</definedName>
    <definedName name="_xlnm.Print_Area" localSheetId="24">'25'!$A$1:$K$53</definedName>
    <definedName name="_xlnm.Print_Area" localSheetId="26">'27'!$A$1:$I$173</definedName>
    <definedName name="_xlnm.Print_Area" localSheetId="27">'28'!$A$1:$I$21</definedName>
    <definedName name="_xlnm.Print_Area" localSheetId="28">'29'!$A$1:$M$29</definedName>
    <definedName name="_xlnm.Print_Area" localSheetId="2">'3'!$A$1:$Q$45</definedName>
    <definedName name="_xlnm.Print_Area" localSheetId="29">'30'!$A$1:$W$25</definedName>
    <definedName name="_xlnm.Print_Area" localSheetId="30">'31'!$A$1:$D$39</definedName>
    <definedName name="_xlnm.Print_Area" localSheetId="31">'32'!$A$1:$D$91</definedName>
    <definedName name="_xlnm.Print_Area" localSheetId="3">'4'!$A$1:$E$22</definedName>
    <definedName name="_xlnm.Print_Area" localSheetId="4">'5'!$A$1:$P$22</definedName>
    <definedName name="_xlnm.Print_Area" localSheetId="5">'6'!$A$1:$M$27</definedName>
    <definedName name="_xlnm.Print_Area" localSheetId="6">'7'!$A$1:$J$25</definedName>
    <definedName name="_xlnm.Print_Area" localSheetId="7">'8'!$A$1:$G$26</definedName>
    <definedName name="_xlnm.Print_Area" localSheetId="8">'9'!$A$1:$F$65</definedName>
  </definedNames>
  <calcPr calcId="144525"/>
  <fileRecoveryPr autoRecover="0"/>
</workbook>
</file>

<file path=xl/calcChain.xml><?xml version="1.0" encoding="utf-8"?>
<calcChain xmlns="http://schemas.openxmlformats.org/spreadsheetml/2006/main">
  <c r="F18" i="1"/>
  <c r="F17"/>
  <c r="F4"/>
  <c r="I55" i="7" l="1"/>
  <c r="H55"/>
  <c r="G55"/>
  <c r="F55"/>
  <c r="E55"/>
  <c r="D55"/>
  <c r="C55"/>
  <c r="B55"/>
  <c r="M21" i="6" l="1"/>
  <c r="D16" i="8" l="1"/>
  <c r="H10" l="1"/>
  <c r="I15" i="2" l="1"/>
  <c r="H17" i="24" l="1"/>
  <c r="I17"/>
  <c r="F17"/>
  <c r="G17"/>
  <c r="I11"/>
  <c r="I12"/>
  <c r="I13"/>
  <c r="I14"/>
  <c r="I15"/>
  <c r="I16"/>
  <c r="I5"/>
  <c r="I6"/>
  <c r="I7"/>
  <c r="I8"/>
  <c r="I9"/>
  <c r="I10"/>
  <c r="K20" i="31" l="1"/>
  <c r="B20"/>
  <c r="D20" s="1"/>
  <c r="K19"/>
  <c r="E19"/>
  <c r="D19"/>
  <c r="C19"/>
  <c r="F19" s="1"/>
  <c r="B19"/>
  <c r="K18"/>
  <c r="F18"/>
  <c r="B18"/>
  <c r="K17"/>
  <c r="E17"/>
  <c r="B17"/>
  <c r="C17" s="1"/>
  <c r="K16"/>
  <c r="D16"/>
  <c r="C16"/>
  <c r="B16"/>
  <c r="E16" s="1"/>
  <c r="K15"/>
  <c r="E15"/>
  <c r="B15"/>
  <c r="C15" s="1"/>
  <c r="K14"/>
  <c r="B14"/>
  <c r="D14" s="1"/>
  <c r="K13"/>
  <c r="D13"/>
  <c r="C13"/>
  <c r="F13" s="1"/>
  <c r="B13"/>
  <c r="K12"/>
  <c r="E12"/>
  <c r="B12"/>
  <c r="C12" s="1"/>
  <c r="K11"/>
  <c r="D11"/>
  <c r="C11"/>
  <c r="B11"/>
  <c r="E11" s="1"/>
  <c r="K10"/>
  <c r="E10"/>
  <c r="F10" s="1"/>
  <c r="D10"/>
  <c r="B10"/>
  <c r="K9"/>
  <c r="B9"/>
  <c r="D9" s="1"/>
  <c r="K8"/>
  <c r="E8"/>
  <c r="D8"/>
  <c r="C8"/>
  <c r="F8" s="1"/>
  <c r="B8"/>
  <c r="K7"/>
  <c r="B7"/>
  <c r="D7" s="1"/>
  <c r="K6"/>
  <c r="E6"/>
  <c r="C6"/>
  <c r="F6" s="1"/>
  <c r="B6"/>
  <c r="K5"/>
  <c r="E5"/>
  <c r="B5"/>
  <c r="B21" s="1"/>
  <c r="F20" i="30"/>
  <c r="C20"/>
  <c r="G20" s="1"/>
  <c r="B20"/>
  <c r="D20" s="1"/>
  <c r="F19"/>
  <c r="C19"/>
  <c r="D19" s="1"/>
  <c r="B19"/>
  <c r="F18"/>
  <c r="H18" s="1"/>
  <c r="C18"/>
  <c r="G18" s="1"/>
  <c r="B18"/>
  <c r="D18" s="1"/>
  <c r="F17"/>
  <c r="C17"/>
  <c r="D17" s="1"/>
  <c r="B17"/>
  <c r="F16"/>
  <c r="C16"/>
  <c r="G16" s="1"/>
  <c r="B16"/>
  <c r="D16" s="1"/>
  <c r="F15"/>
  <c r="C15"/>
  <c r="D15" s="1"/>
  <c r="B15"/>
  <c r="F14"/>
  <c r="H14" s="1"/>
  <c r="C14"/>
  <c r="G14" s="1"/>
  <c r="B14"/>
  <c r="D14" s="1"/>
  <c r="F13"/>
  <c r="C13"/>
  <c r="D13" s="1"/>
  <c r="B13"/>
  <c r="F12"/>
  <c r="C12"/>
  <c r="G12" s="1"/>
  <c r="B12"/>
  <c r="D12" s="1"/>
  <c r="F11"/>
  <c r="C11"/>
  <c r="D11" s="1"/>
  <c r="B11"/>
  <c r="F10"/>
  <c r="H10" s="1"/>
  <c r="C10"/>
  <c r="G10" s="1"/>
  <c r="B10"/>
  <c r="D10" s="1"/>
  <c r="F9"/>
  <c r="C9"/>
  <c r="D9" s="1"/>
  <c r="B9"/>
  <c r="F8"/>
  <c r="C8"/>
  <c r="G8" s="1"/>
  <c r="B8"/>
  <c r="D8" s="1"/>
  <c r="F7"/>
  <c r="C7"/>
  <c r="D7" s="1"/>
  <c r="B7"/>
  <c r="F6"/>
  <c r="H6" s="1"/>
  <c r="C6"/>
  <c r="G6" s="1"/>
  <c r="B6"/>
  <c r="D6" s="1"/>
  <c r="F5"/>
  <c r="J21" s="1"/>
  <c r="C5"/>
  <c r="D5" s="1"/>
  <c r="B5"/>
  <c r="B21" s="1"/>
  <c r="H45" i="27"/>
  <c r="R21"/>
  <c r="P21"/>
  <c r="N21"/>
  <c r="H21"/>
  <c r="G21"/>
  <c r="R20"/>
  <c r="S20" s="1"/>
  <c r="I20"/>
  <c r="E20"/>
  <c r="M20" s="1"/>
  <c r="D20"/>
  <c r="L20" s="1"/>
  <c r="C20"/>
  <c r="K20" s="1"/>
  <c r="B20"/>
  <c r="R19"/>
  <c r="S19" s="1"/>
  <c r="I19"/>
  <c r="E19"/>
  <c r="M19" s="1"/>
  <c r="D19"/>
  <c r="L19" s="1"/>
  <c r="C19"/>
  <c r="K19" s="1"/>
  <c r="B19"/>
  <c r="R18"/>
  <c r="S18" s="1"/>
  <c r="I18"/>
  <c r="E18"/>
  <c r="M18" s="1"/>
  <c r="D18"/>
  <c r="L18" s="1"/>
  <c r="C18"/>
  <c r="K18" s="1"/>
  <c r="B18"/>
  <c r="R17"/>
  <c r="S17" s="1"/>
  <c r="I17"/>
  <c r="E17"/>
  <c r="M17" s="1"/>
  <c r="D17"/>
  <c r="L17" s="1"/>
  <c r="C17"/>
  <c r="K17" s="1"/>
  <c r="B17"/>
  <c r="R16"/>
  <c r="S16" s="1"/>
  <c r="I16"/>
  <c r="E16"/>
  <c r="M16" s="1"/>
  <c r="D16"/>
  <c r="L16" s="1"/>
  <c r="C16"/>
  <c r="K16" s="1"/>
  <c r="B16"/>
  <c r="R15"/>
  <c r="S15" s="1"/>
  <c r="I15"/>
  <c r="E15"/>
  <c r="M15" s="1"/>
  <c r="D15"/>
  <c r="L15" s="1"/>
  <c r="C15"/>
  <c r="K15" s="1"/>
  <c r="B15"/>
  <c r="R14"/>
  <c r="S14" s="1"/>
  <c r="I14"/>
  <c r="E14"/>
  <c r="M14" s="1"/>
  <c r="D14"/>
  <c r="L14" s="1"/>
  <c r="C14"/>
  <c r="K14" s="1"/>
  <c r="B14"/>
  <c r="R13"/>
  <c r="S13" s="1"/>
  <c r="I13"/>
  <c r="E13"/>
  <c r="M13" s="1"/>
  <c r="D13"/>
  <c r="L13" s="1"/>
  <c r="C13"/>
  <c r="K13" s="1"/>
  <c r="B13"/>
  <c r="R12"/>
  <c r="S12" s="1"/>
  <c r="I12"/>
  <c r="D12"/>
  <c r="L12" s="1"/>
  <c r="C12"/>
  <c r="E12" s="1"/>
  <c r="M12" s="1"/>
  <c r="B12"/>
  <c r="R11"/>
  <c r="S11" s="1"/>
  <c r="I11"/>
  <c r="D11"/>
  <c r="L11" s="1"/>
  <c r="C11"/>
  <c r="E11" s="1"/>
  <c r="M11" s="1"/>
  <c r="B11"/>
  <c r="R10"/>
  <c r="S10" s="1"/>
  <c r="I10"/>
  <c r="D10"/>
  <c r="L10" s="1"/>
  <c r="C10"/>
  <c r="E10" s="1"/>
  <c r="M10" s="1"/>
  <c r="B10"/>
  <c r="R9"/>
  <c r="S9" s="1"/>
  <c r="I9"/>
  <c r="D9"/>
  <c r="C9"/>
  <c r="E9" s="1"/>
  <c r="B9"/>
  <c r="R8"/>
  <c r="I8"/>
  <c r="D8"/>
  <c r="L8" s="1"/>
  <c r="C8"/>
  <c r="E8" s="1"/>
  <c r="B8"/>
  <c r="S8" s="1"/>
  <c r="R7"/>
  <c r="I7"/>
  <c r="M7" s="1"/>
  <c r="D7"/>
  <c r="L7" s="1"/>
  <c r="C7"/>
  <c r="E7" s="1"/>
  <c r="B7"/>
  <c r="S7" s="1"/>
  <c r="S6"/>
  <c r="T6" s="1"/>
  <c r="R6"/>
  <c r="L6"/>
  <c r="K6"/>
  <c r="I6"/>
  <c r="M6" s="1"/>
  <c r="B6"/>
  <c r="R5"/>
  <c r="I5"/>
  <c r="D5"/>
  <c r="L5" s="1"/>
  <c r="C5"/>
  <c r="E5" s="1"/>
  <c r="B5"/>
  <c r="B21" s="1"/>
  <c r="C21" i="28"/>
  <c r="B21"/>
  <c r="G20"/>
  <c r="F20"/>
  <c r="H20" s="1"/>
  <c r="L20" s="1"/>
  <c r="D20"/>
  <c r="G19"/>
  <c r="H19" s="1"/>
  <c r="L19" s="1"/>
  <c r="F19"/>
  <c r="D19"/>
  <c r="H18"/>
  <c r="L18" s="1"/>
  <c r="G18"/>
  <c r="F18"/>
  <c r="D18"/>
  <c r="G17"/>
  <c r="F17"/>
  <c r="H17" s="1"/>
  <c r="L17" s="1"/>
  <c r="D17"/>
  <c r="G16"/>
  <c r="F16"/>
  <c r="H16" s="1"/>
  <c r="L16" s="1"/>
  <c r="D16"/>
  <c r="G15"/>
  <c r="H15" s="1"/>
  <c r="L15" s="1"/>
  <c r="F15"/>
  <c r="D15"/>
  <c r="H14"/>
  <c r="L14" s="1"/>
  <c r="G14"/>
  <c r="F14"/>
  <c r="D14"/>
  <c r="G13"/>
  <c r="F13"/>
  <c r="H13" s="1"/>
  <c r="L13" s="1"/>
  <c r="D13"/>
  <c r="G12"/>
  <c r="F12"/>
  <c r="H12" s="1"/>
  <c r="L12" s="1"/>
  <c r="D12"/>
  <c r="G11"/>
  <c r="H11" s="1"/>
  <c r="L11" s="1"/>
  <c r="F11"/>
  <c r="D11"/>
  <c r="H10"/>
  <c r="L10" s="1"/>
  <c r="G10"/>
  <c r="F10"/>
  <c r="D10"/>
  <c r="G9"/>
  <c r="F9"/>
  <c r="H9" s="1"/>
  <c r="L9" s="1"/>
  <c r="D9"/>
  <c r="G8"/>
  <c r="F8"/>
  <c r="H8" s="1"/>
  <c r="L8" s="1"/>
  <c r="D8"/>
  <c r="G7"/>
  <c r="H7" s="1"/>
  <c r="L7" s="1"/>
  <c r="F7"/>
  <c r="D7"/>
  <c r="L6"/>
  <c r="G6"/>
  <c r="G21" s="1"/>
  <c r="K21" s="1"/>
  <c r="F6"/>
  <c r="D6"/>
  <c r="H5"/>
  <c r="L5" s="1"/>
  <c r="G5"/>
  <c r="F5"/>
  <c r="F21" s="1"/>
  <c r="J21" s="1"/>
  <c r="D5"/>
  <c r="D21" s="1"/>
  <c r="L21" s="1"/>
  <c r="F17" i="31" l="1"/>
  <c r="E21"/>
  <c r="J21" s="1"/>
  <c r="F11"/>
  <c r="F16"/>
  <c r="D5"/>
  <c r="D21" s="1"/>
  <c r="I21" s="1"/>
  <c r="E7"/>
  <c r="E9"/>
  <c r="D12"/>
  <c r="F12" s="1"/>
  <c r="D15"/>
  <c r="F15" s="1"/>
  <c r="D17"/>
  <c r="E20"/>
  <c r="C14"/>
  <c r="F14" s="1"/>
  <c r="C20"/>
  <c r="F20" s="1"/>
  <c r="C7"/>
  <c r="F7" s="1"/>
  <c r="C9"/>
  <c r="F9" s="1"/>
  <c r="C5"/>
  <c r="H8" i="30"/>
  <c r="H12"/>
  <c r="H16"/>
  <c r="H20"/>
  <c r="F21"/>
  <c r="G5"/>
  <c r="G7"/>
  <c r="H7" s="1"/>
  <c r="G9"/>
  <c r="H9" s="1"/>
  <c r="G11"/>
  <c r="H11" s="1"/>
  <c r="G13"/>
  <c r="H13" s="1"/>
  <c r="G15"/>
  <c r="H15" s="1"/>
  <c r="G17"/>
  <c r="H17" s="1"/>
  <c r="G19"/>
  <c r="H19" s="1"/>
  <c r="C21"/>
  <c r="D21" s="1"/>
  <c r="O10" i="27"/>
  <c r="T10"/>
  <c r="O13"/>
  <c r="T13"/>
  <c r="O15"/>
  <c r="T15"/>
  <c r="O17"/>
  <c r="T17"/>
  <c r="O19"/>
  <c r="T19"/>
  <c r="L21"/>
  <c r="M5"/>
  <c r="T7"/>
  <c r="O7"/>
  <c r="M8"/>
  <c r="O11"/>
  <c r="T11"/>
  <c r="T8"/>
  <c r="O8"/>
  <c r="M9"/>
  <c r="O12"/>
  <c r="T12"/>
  <c r="O14"/>
  <c r="T14"/>
  <c r="O16"/>
  <c r="T16"/>
  <c r="O18"/>
  <c r="T18"/>
  <c r="O20"/>
  <c r="T20"/>
  <c r="E21"/>
  <c r="O9"/>
  <c r="T9"/>
  <c r="S21"/>
  <c r="O6"/>
  <c r="K10"/>
  <c r="K11"/>
  <c r="K12"/>
  <c r="C21"/>
  <c r="K21" s="1"/>
  <c r="K5"/>
  <c r="K7"/>
  <c r="K8"/>
  <c r="K9"/>
  <c r="D21"/>
  <c r="I21"/>
  <c r="M21" s="1"/>
  <c r="S5"/>
  <c r="O5" s="1"/>
  <c r="F5" i="31" l="1"/>
  <c r="F21" s="1"/>
  <c r="K21" s="1"/>
  <c r="C21"/>
  <c r="H21" s="1"/>
  <c r="H5" i="30"/>
  <c r="H21" s="1"/>
  <c r="G21"/>
  <c r="K21"/>
  <c r="T21" i="27"/>
  <c r="O21"/>
  <c r="L5" i="5" l="1"/>
  <c r="C10" l="1"/>
  <c r="C9"/>
  <c r="C8"/>
  <c r="C7"/>
  <c r="C6"/>
  <c r="D10"/>
  <c r="F141" i="38" l="1"/>
  <c r="H59"/>
  <c r="H57"/>
  <c r="H136" l="1"/>
  <c r="H137"/>
  <c r="H138"/>
  <c r="H139"/>
  <c r="H140"/>
  <c r="H141"/>
  <c r="H142"/>
  <c r="H143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35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7"/>
  <c r="H118"/>
  <c r="H119"/>
  <c r="H120"/>
  <c r="H121"/>
  <c r="H122"/>
  <c r="H123"/>
  <c r="H92"/>
  <c r="H50"/>
  <c r="H51"/>
  <c r="H52"/>
  <c r="H53"/>
  <c r="H54"/>
  <c r="H55"/>
  <c r="H56"/>
  <c r="H58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49"/>
  <c r="H6"/>
  <c r="H7"/>
  <c r="H8"/>
  <c r="H9"/>
  <c r="H10"/>
  <c r="H12"/>
  <c r="H13"/>
  <c r="H14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5"/>
  <c r="G167"/>
  <c r="G166"/>
  <c r="G163"/>
  <c r="G159"/>
  <c r="G156"/>
  <c r="G155"/>
  <c r="G152"/>
  <c r="G148"/>
  <c r="G144"/>
  <c r="H144" s="1"/>
  <c r="G141"/>
  <c r="G137"/>
  <c r="G124"/>
  <c r="G123"/>
  <c r="G120"/>
  <c r="G116"/>
  <c r="G113"/>
  <c r="G112"/>
  <c r="G109"/>
  <c r="G105"/>
  <c r="G102"/>
  <c r="G101"/>
  <c r="G98"/>
  <c r="G94"/>
  <c r="G81"/>
  <c r="G80"/>
  <c r="G77"/>
  <c r="G73"/>
  <c r="G70"/>
  <c r="G69"/>
  <c r="G66"/>
  <c r="G62"/>
  <c r="G59"/>
  <c r="G55"/>
  <c r="G51"/>
  <c r="G37"/>
  <c r="G36"/>
  <c r="G33"/>
  <c r="G29"/>
  <c r="G26"/>
  <c r="G25"/>
  <c r="G22"/>
  <c r="G18"/>
  <c r="G15"/>
  <c r="G14"/>
  <c r="G11"/>
  <c r="G7"/>
  <c r="F167"/>
  <c r="F166"/>
  <c r="F163"/>
  <c r="F159"/>
  <c r="F156"/>
  <c r="F155"/>
  <c r="F152"/>
  <c r="F148"/>
  <c r="F145"/>
  <c r="F144"/>
  <c r="F137"/>
  <c r="F123"/>
  <c r="F120"/>
  <c r="F116"/>
  <c r="F124" s="1"/>
  <c r="H124" s="1"/>
  <c r="F113"/>
  <c r="F112"/>
  <c r="F109"/>
  <c r="F105"/>
  <c r="F102"/>
  <c r="F101"/>
  <c r="F98"/>
  <c r="F94"/>
  <c r="F81"/>
  <c r="F80"/>
  <c r="F77"/>
  <c r="F73"/>
  <c r="F70"/>
  <c r="F69"/>
  <c r="F66"/>
  <c r="F62"/>
  <c r="F59"/>
  <c r="F58"/>
  <c r="F55"/>
  <c r="F51"/>
  <c r="F37"/>
  <c r="F36"/>
  <c r="F33"/>
  <c r="F29"/>
  <c r="F26"/>
  <c r="F25"/>
  <c r="F22"/>
  <c r="F18"/>
  <c r="F14"/>
  <c r="F11"/>
  <c r="H11" s="1"/>
  <c r="F7"/>
  <c r="G145" l="1"/>
  <c r="H145"/>
  <c r="H116"/>
  <c r="F15"/>
  <c r="H15" s="1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35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92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49"/>
  <c r="I26"/>
  <c r="I27"/>
  <c r="I28"/>
  <c r="I29"/>
  <c r="I30"/>
  <c r="I31"/>
  <c r="I32"/>
  <c r="I33"/>
  <c r="I34"/>
  <c r="I35"/>
  <c r="I36"/>
  <c r="I37"/>
  <c r="I21"/>
  <c r="I22"/>
  <c r="I23"/>
  <c r="I24"/>
  <c r="I25"/>
  <c r="I15"/>
  <c r="I16"/>
  <c r="I17"/>
  <c r="I18"/>
  <c r="I19"/>
  <c r="I20"/>
  <c r="I6"/>
  <c r="I7"/>
  <c r="I8"/>
  <c r="I9"/>
  <c r="I10"/>
  <c r="I11"/>
  <c r="I12"/>
  <c r="I13"/>
  <c r="I14"/>
  <c r="I5"/>
  <c r="K21" i="6" l="1"/>
  <c r="K14"/>
  <c r="K16"/>
  <c r="K17"/>
  <c r="M17" s="1"/>
  <c r="K25" i="4"/>
  <c r="H47" i="3"/>
  <c r="D20" i="1"/>
  <c r="G7" i="5" l="1"/>
  <c r="AH6" i="4"/>
  <c r="AH7"/>
  <c r="AH8"/>
  <c r="AH9"/>
  <c r="AH10"/>
  <c r="AH12"/>
  <c r="AH14"/>
  <c r="AH5"/>
  <c r="AG6"/>
  <c r="AG7"/>
  <c r="AG8"/>
  <c r="AG9"/>
  <c r="AG10"/>
  <c r="AG12"/>
  <c r="AG14"/>
  <c r="AG5"/>
  <c r="AF6"/>
  <c r="AF7"/>
  <c r="AF8"/>
  <c r="AF9"/>
  <c r="AF10"/>
  <c r="AF12"/>
  <c r="AF14"/>
  <c r="AF5"/>
  <c r="AE5" l="1"/>
  <c r="AE6"/>
  <c r="AE7"/>
  <c r="AE8"/>
  <c r="AE9"/>
  <c r="AE10"/>
  <c r="AE11"/>
  <c r="AF11" s="1"/>
  <c r="AG11" s="1"/>
  <c r="AH11" s="1"/>
  <c r="AE12"/>
  <c r="AE13"/>
  <c r="AF13" s="1"/>
  <c r="AG13" s="1"/>
  <c r="AH13" s="1"/>
  <c r="AE14"/>
  <c r="E19" i="1"/>
  <c r="E18"/>
  <c r="E17"/>
  <c r="F14"/>
  <c r="F15"/>
  <c r="F13"/>
  <c r="E15"/>
  <c r="D15"/>
  <c r="E14"/>
  <c r="D14"/>
  <c r="E13"/>
  <c r="D13"/>
  <c r="J15" i="2"/>
  <c r="E15" s="1"/>
  <c r="D48" i="3"/>
  <c r="C48"/>
  <c r="E34"/>
  <c r="E36" s="1"/>
  <c r="F34"/>
  <c r="F36" s="1"/>
  <c r="G34"/>
  <c r="G36" s="1"/>
  <c r="H34"/>
  <c r="I34"/>
  <c r="I36" s="1"/>
  <c r="J34"/>
  <c r="J36" s="1"/>
  <c r="K34"/>
  <c r="K36" s="1"/>
  <c r="L34"/>
  <c r="M34"/>
  <c r="M36" s="1"/>
  <c r="N34"/>
  <c r="N36" s="1"/>
  <c r="O34"/>
  <c r="O36" s="1"/>
  <c r="D34"/>
  <c r="E39"/>
  <c r="F39"/>
  <c r="G39"/>
  <c r="H39"/>
  <c r="I39"/>
  <c r="J39"/>
  <c r="K39"/>
  <c r="L39"/>
  <c r="M39"/>
  <c r="N39"/>
  <c r="O39"/>
  <c r="P39"/>
  <c r="Q39"/>
  <c r="D39"/>
  <c r="H36"/>
  <c r="L36"/>
  <c r="P36"/>
  <c r="Q36"/>
  <c r="D36"/>
  <c r="E35"/>
  <c r="F35"/>
  <c r="G35"/>
  <c r="H35"/>
  <c r="I35"/>
  <c r="J35"/>
  <c r="K35"/>
  <c r="L35"/>
  <c r="M35"/>
  <c r="N35"/>
  <c r="O35"/>
  <c r="D35"/>
  <c r="Q33"/>
  <c r="E33"/>
  <c r="F33"/>
  <c r="G33"/>
  <c r="H33"/>
  <c r="I33"/>
  <c r="J33"/>
  <c r="K33"/>
  <c r="L33"/>
  <c r="M33"/>
  <c r="N33"/>
  <c r="O33"/>
  <c r="P33"/>
  <c r="D33"/>
  <c r="E32"/>
  <c r="F32"/>
  <c r="G32"/>
  <c r="H32"/>
  <c r="I32"/>
  <c r="J32"/>
  <c r="K32"/>
  <c r="L32"/>
  <c r="M32"/>
  <c r="N32"/>
  <c r="O32"/>
  <c r="D32"/>
  <c r="E31"/>
  <c r="F31"/>
  <c r="G31"/>
  <c r="H31"/>
  <c r="I31"/>
  <c r="J31"/>
  <c r="K31"/>
  <c r="L31"/>
  <c r="M31"/>
  <c r="N31"/>
  <c r="O31"/>
  <c r="D31"/>
  <c r="Q30"/>
  <c r="E30"/>
  <c r="F30"/>
  <c r="G30"/>
  <c r="H30"/>
  <c r="I30"/>
  <c r="J30"/>
  <c r="K30"/>
  <c r="L30"/>
  <c r="M30"/>
  <c r="N30"/>
  <c r="O30"/>
  <c r="P30"/>
  <c r="D30"/>
  <c r="Q16"/>
  <c r="Q13"/>
  <c r="Q10"/>
  <c r="Q7"/>
  <c r="P16"/>
  <c r="P13"/>
  <c r="P10"/>
  <c r="P7"/>
  <c r="AG6"/>
  <c r="AG7"/>
  <c r="AG8"/>
  <c r="AG9"/>
  <c r="AG10"/>
  <c r="AG11"/>
  <c r="AG12"/>
  <c r="AG13"/>
  <c r="AG14"/>
  <c r="AG15"/>
  <c r="AG16"/>
  <c r="AG5"/>
  <c r="AF6"/>
  <c r="AF8"/>
  <c r="AF9"/>
  <c r="AF11"/>
  <c r="AF12"/>
  <c r="AF14"/>
  <c r="AF15"/>
  <c r="AF5"/>
  <c r="AE5"/>
  <c r="AE6"/>
  <c r="AE7"/>
  <c r="AE8"/>
  <c r="AE9"/>
  <c r="AE10"/>
  <c r="AE11"/>
  <c r="AE12"/>
  <c r="AE13"/>
  <c r="AE14"/>
  <c r="AE15"/>
  <c r="AE16"/>
  <c r="E16"/>
  <c r="F16"/>
  <c r="G16"/>
  <c r="H16"/>
  <c r="I16"/>
  <c r="J16"/>
  <c r="K16"/>
  <c r="L16"/>
  <c r="M16"/>
  <c r="N16"/>
  <c r="O16"/>
  <c r="D16"/>
  <c r="E13"/>
  <c r="F13"/>
  <c r="G13"/>
  <c r="H13"/>
  <c r="I13"/>
  <c r="J13"/>
  <c r="K13"/>
  <c r="L13"/>
  <c r="M13"/>
  <c r="N13"/>
  <c r="O13"/>
  <c r="D13"/>
  <c r="E10"/>
  <c r="F10"/>
  <c r="G10"/>
  <c r="H10"/>
  <c r="I10"/>
  <c r="J10"/>
  <c r="K10"/>
  <c r="L10"/>
  <c r="M10"/>
  <c r="N10"/>
  <c r="O10"/>
  <c r="D10"/>
  <c r="E7"/>
  <c r="F7"/>
  <c r="G7"/>
  <c r="H7"/>
  <c r="I7"/>
  <c r="J7"/>
  <c r="K7"/>
  <c r="L7"/>
  <c r="M7"/>
  <c r="N7"/>
  <c r="O7"/>
  <c r="D7"/>
  <c r="G16" i="8" l="1"/>
  <c r="G15"/>
  <c r="G10"/>
  <c r="F17" i="7"/>
  <c r="D17"/>
  <c r="C17"/>
  <c r="B17"/>
  <c r="AD5" i="29" l="1"/>
  <c r="AD6"/>
  <c r="AD7"/>
  <c r="AD8"/>
  <c r="AD9"/>
  <c r="AD10"/>
  <c r="AD11"/>
  <c r="AD12"/>
  <c r="AD13"/>
  <c r="AD14"/>
  <c r="AD15"/>
  <c r="AD16"/>
  <c r="AD17"/>
  <c r="AD18"/>
  <c r="AD19"/>
  <c r="AD20"/>
  <c r="AD21"/>
  <c r="AC6"/>
  <c r="AC7"/>
  <c r="AC8"/>
  <c r="AC9"/>
  <c r="AC10"/>
  <c r="AC11"/>
  <c r="AC12"/>
  <c r="AC13"/>
  <c r="AC14"/>
  <c r="AC15"/>
  <c r="AC16"/>
  <c r="AC17"/>
  <c r="AC18"/>
  <c r="AC19"/>
  <c r="AC20"/>
  <c r="AC21"/>
  <c r="AC5"/>
  <c r="AB6"/>
  <c r="AB7"/>
  <c r="AB8"/>
  <c r="AB9"/>
  <c r="AB10"/>
  <c r="AB11"/>
  <c r="AB12"/>
  <c r="AB13"/>
  <c r="AB14"/>
  <c r="AB15"/>
  <c r="AB16"/>
  <c r="AB17"/>
  <c r="AB18"/>
  <c r="AB19"/>
  <c r="AB20"/>
  <c r="AB21"/>
  <c r="AB5"/>
  <c r="AA6"/>
  <c r="AA7"/>
  <c r="AA8"/>
  <c r="AA9"/>
  <c r="AA10"/>
  <c r="AA11"/>
  <c r="AA12"/>
  <c r="AA13"/>
  <c r="AA14"/>
  <c r="AA15"/>
  <c r="AA16"/>
  <c r="AA17"/>
  <c r="AA18"/>
  <c r="AA19"/>
  <c r="AA20"/>
  <c r="AA21"/>
  <c r="AA5"/>
  <c r="Y5"/>
  <c r="Y6"/>
  <c r="Y7"/>
  <c r="Y8"/>
  <c r="Y9"/>
  <c r="Y10"/>
  <c r="Y11"/>
  <c r="Y12"/>
  <c r="Y13"/>
  <c r="Y14"/>
  <c r="Y15"/>
  <c r="Y16"/>
  <c r="Y17"/>
  <c r="Y18"/>
  <c r="Y19"/>
  <c r="Y20"/>
  <c r="Y21"/>
  <c r="T5"/>
  <c r="T6"/>
  <c r="T7"/>
  <c r="T8"/>
  <c r="T9"/>
  <c r="T10"/>
  <c r="T11"/>
  <c r="T12"/>
  <c r="T13"/>
  <c r="T14"/>
  <c r="T15"/>
  <c r="T16"/>
  <c r="T17"/>
  <c r="T18"/>
  <c r="T19"/>
  <c r="T20"/>
  <c r="T21"/>
  <c r="O5"/>
  <c r="O6"/>
  <c r="O7"/>
  <c r="O8"/>
  <c r="O9"/>
  <c r="O10"/>
  <c r="O11"/>
  <c r="O12"/>
  <c r="O13"/>
  <c r="O14"/>
  <c r="O15"/>
  <c r="O16"/>
  <c r="O17"/>
  <c r="O18"/>
  <c r="O19"/>
  <c r="O20"/>
  <c r="O21"/>
  <c r="J5"/>
  <c r="J6"/>
  <c r="J7"/>
  <c r="J8"/>
  <c r="J9"/>
  <c r="J10"/>
  <c r="J11"/>
  <c r="J12"/>
  <c r="J13"/>
  <c r="J14"/>
  <c r="J15"/>
  <c r="J16"/>
  <c r="J17"/>
  <c r="J18"/>
  <c r="J19"/>
  <c r="J20"/>
  <c r="J21"/>
  <c r="E5"/>
  <c r="E6"/>
  <c r="E7"/>
  <c r="E8"/>
  <c r="E9"/>
  <c r="E10"/>
  <c r="E11"/>
  <c r="E12"/>
  <c r="E13"/>
  <c r="E14"/>
  <c r="E15"/>
  <c r="E16"/>
  <c r="E17"/>
  <c r="E18"/>
  <c r="E19"/>
  <c r="E20"/>
  <c r="E21"/>
  <c r="F20" i="26" l="1"/>
  <c r="U6" i="25"/>
  <c r="U7"/>
  <c r="U9"/>
  <c r="U10"/>
  <c r="U11"/>
  <c r="U12"/>
  <c r="U13"/>
  <c r="U14"/>
  <c r="U15"/>
  <c r="U16"/>
  <c r="U17"/>
  <c r="U18"/>
  <c r="U19"/>
  <c r="U20"/>
  <c r="R6"/>
  <c r="R7"/>
  <c r="R8"/>
  <c r="R9"/>
  <c r="R10"/>
  <c r="R11"/>
  <c r="R12"/>
  <c r="R13"/>
  <c r="R14"/>
  <c r="R15"/>
  <c r="R16"/>
  <c r="R17"/>
  <c r="R18"/>
  <c r="R19"/>
  <c r="R20"/>
  <c r="R21"/>
  <c r="R5"/>
  <c r="O6"/>
  <c r="O7"/>
  <c r="O8"/>
  <c r="O9"/>
  <c r="O10"/>
  <c r="O11"/>
  <c r="O12"/>
  <c r="O13"/>
  <c r="O14"/>
  <c r="O15"/>
  <c r="O16"/>
  <c r="O17"/>
  <c r="O18"/>
  <c r="O19"/>
  <c r="O20"/>
  <c r="O21"/>
  <c r="O5"/>
  <c r="I6"/>
  <c r="I7"/>
  <c r="I8"/>
  <c r="I9"/>
  <c r="I10"/>
  <c r="I11"/>
  <c r="I12"/>
  <c r="I13"/>
  <c r="I14"/>
  <c r="I15"/>
  <c r="I16"/>
  <c r="I17"/>
  <c r="I18"/>
  <c r="I19"/>
  <c r="I20"/>
  <c r="I21"/>
  <c r="I5"/>
  <c r="F6"/>
  <c r="F7"/>
  <c r="F8"/>
  <c r="F9"/>
  <c r="F10"/>
  <c r="F11"/>
  <c r="F12"/>
  <c r="F13"/>
  <c r="F14"/>
  <c r="F15"/>
  <c r="F16"/>
  <c r="F17"/>
  <c r="F18"/>
  <c r="F19"/>
  <c r="F20"/>
  <c r="F21"/>
  <c r="F5"/>
  <c r="C6"/>
  <c r="C7"/>
  <c r="C8"/>
  <c r="C9"/>
  <c r="C10"/>
  <c r="C11"/>
  <c r="C12"/>
  <c r="C13"/>
  <c r="C14"/>
  <c r="C15"/>
  <c r="C16"/>
  <c r="C17"/>
  <c r="C18"/>
  <c r="C19"/>
  <c r="C20"/>
  <c r="C21"/>
  <c r="C5"/>
  <c r="O6" i="33"/>
  <c r="O7"/>
  <c r="O8"/>
  <c r="O9"/>
  <c r="O10"/>
  <c r="O11"/>
  <c r="O12"/>
  <c r="O13"/>
  <c r="O14"/>
  <c r="O15"/>
  <c r="O16"/>
  <c r="O17"/>
  <c r="O18"/>
  <c r="O19"/>
  <c r="O20"/>
  <c r="O21"/>
  <c r="O5"/>
  <c r="I15"/>
  <c r="I16"/>
  <c r="I17"/>
  <c r="I18"/>
  <c r="I19"/>
  <c r="I20"/>
  <c r="I7"/>
  <c r="I8"/>
  <c r="I9"/>
  <c r="I10"/>
  <c r="I11"/>
  <c r="I12"/>
  <c r="I13"/>
  <c r="I14"/>
  <c r="I5"/>
  <c r="F6"/>
  <c r="F7"/>
  <c r="F8"/>
  <c r="F9"/>
  <c r="F10"/>
  <c r="F11"/>
  <c r="F12"/>
  <c r="F13"/>
  <c r="F14"/>
  <c r="F15"/>
  <c r="F16"/>
  <c r="F17"/>
  <c r="F18"/>
  <c r="F19"/>
  <c r="F20"/>
  <c r="F21"/>
  <c r="F5"/>
  <c r="C6"/>
  <c r="C7"/>
  <c r="C8"/>
  <c r="C9"/>
  <c r="C10"/>
  <c r="C11"/>
  <c r="C12"/>
  <c r="C13"/>
  <c r="C14"/>
  <c r="C15"/>
  <c r="C16"/>
  <c r="C17"/>
  <c r="C18"/>
  <c r="C19"/>
  <c r="C20"/>
  <c r="C21"/>
  <c r="C5"/>
  <c r="B21" i="29"/>
  <c r="C21"/>
  <c r="D21"/>
  <c r="G21"/>
  <c r="H21"/>
  <c r="I21"/>
  <c r="L21"/>
  <c r="M21"/>
  <c r="N21"/>
  <c r="Q21"/>
  <c r="R21"/>
  <c r="S21"/>
  <c r="V21"/>
  <c r="W21"/>
  <c r="X21"/>
  <c r="I5" i="14"/>
  <c r="I6"/>
  <c r="I7"/>
  <c r="I8"/>
  <c r="I9"/>
  <c r="I10"/>
  <c r="I11"/>
  <c r="I12"/>
  <c r="I13"/>
  <c r="I14"/>
  <c r="I15"/>
  <c r="I16"/>
  <c r="I17"/>
  <c r="I18"/>
  <c r="I19"/>
  <c r="I20"/>
  <c r="I21"/>
  <c r="D21"/>
  <c r="E21"/>
  <c r="F21"/>
  <c r="G21"/>
  <c r="H21"/>
  <c r="C6"/>
  <c r="C7"/>
  <c r="C8"/>
  <c r="C9"/>
  <c r="C10"/>
  <c r="C11"/>
  <c r="C12"/>
  <c r="C13"/>
  <c r="C14"/>
  <c r="C15"/>
  <c r="C16"/>
  <c r="C17"/>
  <c r="C18"/>
  <c r="C19"/>
  <c r="C20"/>
  <c r="C21"/>
  <c r="C5"/>
  <c r="B21"/>
  <c r="G21" i="34"/>
  <c r="H21"/>
  <c r="I21"/>
  <c r="J21"/>
  <c r="E21"/>
  <c r="F21" s="1"/>
  <c r="K8"/>
  <c r="F8"/>
  <c r="C8"/>
  <c r="K9" i="11"/>
  <c r="K5"/>
  <c r="K14"/>
  <c r="K15"/>
  <c r="K16"/>
  <c r="K17"/>
  <c r="K18"/>
  <c r="K19"/>
  <c r="K20"/>
  <c r="K6"/>
  <c r="K7"/>
  <c r="K8"/>
  <c r="K10"/>
  <c r="K11"/>
  <c r="K12"/>
  <c r="K13"/>
  <c r="J5"/>
  <c r="J6"/>
  <c r="J7"/>
  <c r="J8"/>
  <c r="J9"/>
  <c r="J10"/>
  <c r="J11"/>
  <c r="J12"/>
  <c r="J13"/>
  <c r="J14"/>
  <c r="J15"/>
  <c r="J16"/>
  <c r="J17"/>
  <c r="J18"/>
  <c r="J19"/>
  <c r="J20"/>
  <c r="D21"/>
  <c r="E21"/>
  <c r="F21"/>
  <c r="G21"/>
  <c r="H21"/>
  <c r="I21"/>
  <c r="J21" s="1"/>
  <c r="C6"/>
  <c r="C7"/>
  <c r="C8"/>
  <c r="C9"/>
  <c r="C10"/>
  <c r="C11"/>
  <c r="C12"/>
  <c r="C13"/>
  <c r="C14"/>
  <c r="C15"/>
  <c r="C16"/>
  <c r="C17"/>
  <c r="C18"/>
  <c r="C19"/>
  <c r="C20"/>
  <c r="C21"/>
  <c r="C5"/>
  <c r="B21"/>
  <c r="G21" i="17"/>
  <c r="H21"/>
  <c r="I21"/>
  <c r="I14"/>
  <c r="I15"/>
  <c r="I16"/>
  <c r="I17"/>
  <c r="I18"/>
  <c r="I19"/>
  <c r="I20"/>
  <c r="I5"/>
  <c r="I6"/>
  <c r="I7"/>
  <c r="I8"/>
  <c r="I9"/>
  <c r="I10"/>
  <c r="I11"/>
  <c r="I12"/>
  <c r="I13"/>
  <c r="D21"/>
  <c r="E21"/>
  <c r="F21"/>
  <c r="J6"/>
  <c r="J7"/>
  <c r="J8"/>
  <c r="J9"/>
  <c r="J10"/>
  <c r="J11"/>
  <c r="J12"/>
  <c r="J13"/>
  <c r="J14"/>
  <c r="J15"/>
  <c r="J16"/>
  <c r="J17"/>
  <c r="J18"/>
  <c r="J19"/>
  <c r="J20"/>
  <c r="J5"/>
  <c r="C6"/>
  <c r="C7"/>
  <c r="C8"/>
  <c r="C9"/>
  <c r="C10"/>
  <c r="C11"/>
  <c r="C12"/>
  <c r="C13"/>
  <c r="C14"/>
  <c r="C15"/>
  <c r="C16"/>
  <c r="C17"/>
  <c r="C18"/>
  <c r="C19"/>
  <c r="C20"/>
  <c r="C21"/>
  <c r="C5"/>
  <c r="B21"/>
  <c r="I21" i="10"/>
  <c r="I5"/>
  <c r="I6"/>
  <c r="I7"/>
  <c r="I8"/>
  <c r="I9"/>
  <c r="I10"/>
  <c r="I11"/>
  <c r="I12"/>
  <c r="I13"/>
  <c r="I14"/>
  <c r="I15"/>
  <c r="I16"/>
  <c r="I17"/>
  <c r="I18"/>
  <c r="I19"/>
  <c r="I20"/>
  <c r="D21"/>
  <c r="E21"/>
  <c r="F21"/>
  <c r="G21"/>
  <c r="H21"/>
  <c r="J21"/>
  <c r="J6"/>
  <c r="J7"/>
  <c r="J8"/>
  <c r="J9"/>
  <c r="J10"/>
  <c r="J11"/>
  <c r="J12"/>
  <c r="J13"/>
  <c r="J14"/>
  <c r="J15"/>
  <c r="J16"/>
  <c r="J17"/>
  <c r="J18"/>
  <c r="J19"/>
  <c r="J20"/>
  <c r="J5"/>
  <c r="C6"/>
  <c r="C7"/>
  <c r="C8"/>
  <c r="C9"/>
  <c r="C10"/>
  <c r="C11"/>
  <c r="C12"/>
  <c r="C13"/>
  <c r="C14"/>
  <c r="C15"/>
  <c r="C16"/>
  <c r="C17"/>
  <c r="C18"/>
  <c r="C19"/>
  <c r="C20"/>
  <c r="C21"/>
  <c r="C5"/>
  <c r="B21"/>
  <c r="J21" i="17" l="1"/>
  <c r="E5" i="33"/>
  <c r="B5"/>
  <c r="F6" i="34"/>
  <c r="F7"/>
  <c r="F9"/>
  <c r="F10"/>
  <c r="F11"/>
  <c r="F12"/>
  <c r="F13"/>
  <c r="F14"/>
  <c r="F15"/>
  <c r="F16"/>
  <c r="F17"/>
  <c r="F18"/>
  <c r="F19"/>
  <c r="F20"/>
  <c r="F5"/>
  <c r="C6"/>
  <c r="C7"/>
  <c r="C9"/>
  <c r="C10"/>
  <c r="C11"/>
  <c r="C12"/>
  <c r="C13"/>
  <c r="C14"/>
  <c r="C15"/>
  <c r="C16"/>
  <c r="C17"/>
  <c r="C18"/>
  <c r="C19"/>
  <c r="C20"/>
  <c r="C5"/>
  <c r="C17" i="26" l="1"/>
  <c r="C5" i="32"/>
  <c r="C6"/>
  <c r="C7"/>
  <c r="C8"/>
  <c r="C9"/>
  <c r="C10"/>
  <c r="C11"/>
  <c r="C12"/>
  <c r="C13"/>
  <c r="C14"/>
  <c r="C15"/>
  <c r="C16"/>
  <c r="C17"/>
  <c r="C18"/>
  <c r="C4"/>
  <c r="J14" i="26" l="1"/>
  <c r="E14"/>
  <c r="G10"/>
  <c r="G15"/>
  <c r="E6"/>
  <c r="G6" s="1"/>
  <c r="E8"/>
  <c r="G8" s="1"/>
  <c r="E9"/>
  <c r="G9" s="1"/>
  <c r="E10"/>
  <c r="E11"/>
  <c r="G11" s="1"/>
  <c r="E12"/>
  <c r="G12" s="1"/>
  <c r="E13"/>
  <c r="G13" s="1"/>
  <c r="E15"/>
  <c r="E16"/>
  <c r="G16" s="1"/>
  <c r="E17"/>
  <c r="G17" s="1"/>
  <c r="E18"/>
  <c r="E19"/>
  <c r="G19" s="1"/>
  <c r="E5"/>
  <c r="G5" s="1"/>
  <c r="AK6" i="25" l="1"/>
  <c r="AK7"/>
  <c r="AK8"/>
  <c r="AK9"/>
  <c r="AK10"/>
  <c r="AK11"/>
  <c r="AK12"/>
  <c r="AK13"/>
  <c r="AK14"/>
  <c r="AK15"/>
  <c r="AK16"/>
  <c r="AK17"/>
  <c r="AK18"/>
  <c r="AK19"/>
  <c r="AK20"/>
  <c r="AK5"/>
  <c r="Q8"/>
  <c r="N6"/>
  <c r="N7"/>
  <c r="N8"/>
  <c r="N9"/>
  <c r="N10"/>
  <c r="N11"/>
  <c r="N12"/>
  <c r="N13"/>
  <c r="N14"/>
  <c r="N15"/>
  <c r="N16"/>
  <c r="N17"/>
  <c r="N18"/>
  <c r="N19"/>
  <c r="N20"/>
  <c r="N5"/>
  <c r="K6"/>
  <c r="L6" s="1"/>
  <c r="K7"/>
  <c r="L7" s="1"/>
  <c r="K8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5"/>
  <c r="H6"/>
  <c r="H7"/>
  <c r="H8"/>
  <c r="H9"/>
  <c r="H10"/>
  <c r="H11"/>
  <c r="H12"/>
  <c r="H13"/>
  <c r="H14"/>
  <c r="H15"/>
  <c r="H16"/>
  <c r="H17"/>
  <c r="H18"/>
  <c r="H19"/>
  <c r="H20"/>
  <c r="H5"/>
  <c r="E6"/>
  <c r="E7"/>
  <c r="E8"/>
  <c r="E9"/>
  <c r="E10"/>
  <c r="E11"/>
  <c r="E12"/>
  <c r="E13"/>
  <c r="E14"/>
  <c r="E15"/>
  <c r="E16"/>
  <c r="E17"/>
  <c r="E18"/>
  <c r="E19"/>
  <c r="E20"/>
  <c r="E5"/>
  <c r="B6"/>
  <c r="B7"/>
  <c r="B8"/>
  <c r="B9"/>
  <c r="B10"/>
  <c r="B11"/>
  <c r="B12"/>
  <c r="B13"/>
  <c r="B14"/>
  <c r="B15"/>
  <c r="B16"/>
  <c r="B17"/>
  <c r="B18"/>
  <c r="B19"/>
  <c r="B20"/>
  <c r="B5"/>
  <c r="S6" i="33"/>
  <c r="Q6" i="25" s="1"/>
  <c r="S7" i="33"/>
  <c r="Q7" i="25" s="1"/>
  <c r="S8" i="33"/>
  <c r="S9"/>
  <c r="Q9" i="25" s="1"/>
  <c r="S10" i="33"/>
  <c r="Q10" i="25" s="1"/>
  <c r="S11" i="33"/>
  <c r="Q11" i="25" s="1"/>
  <c r="S12" i="33"/>
  <c r="Q12" i="25" s="1"/>
  <c r="S13" i="33"/>
  <c r="Q13" i="25" s="1"/>
  <c r="S14" i="33"/>
  <c r="Q14" i="25" s="1"/>
  <c r="S15" i="33"/>
  <c r="Q15" i="25" s="1"/>
  <c r="S16" i="33"/>
  <c r="Q16" i="25" s="1"/>
  <c r="S17" i="33"/>
  <c r="Q17" i="25" s="1"/>
  <c r="S18" i="33"/>
  <c r="Q18" i="25" s="1"/>
  <c r="S19" i="33"/>
  <c r="Q19" i="25" s="1"/>
  <c r="S20" i="33"/>
  <c r="Q20" i="25" s="1"/>
  <c r="S5" i="33"/>
  <c r="K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5"/>
  <c r="L5" s="1"/>
  <c r="B20"/>
  <c r="J6" i="14"/>
  <c r="J7"/>
  <c r="J8"/>
  <c r="J10"/>
  <c r="J11"/>
  <c r="J12"/>
  <c r="J13"/>
  <c r="J14"/>
  <c r="J15"/>
  <c r="J16"/>
  <c r="J17"/>
  <c r="J18"/>
  <c r="J19"/>
  <c r="J20"/>
  <c r="N6" i="33"/>
  <c r="N7"/>
  <c r="N8"/>
  <c r="N9"/>
  <c r="N10"/>
  <c r="N11"/>
  <c r="N12"/>
  <c r="N13"/>
  <c r="N14"/>
  <c r="N15"/>
  <c r="N16"/>
  <c r="N17"/>
  <c r="N18"/>
  <c r="N19"/>
  <c r="N20"/>
  <c r="N5"/>
  <c r="K7" i="34"/>
  <c r="K13"/>
  <c r="K12"/>
  <c r="K11"/>
  <c r="K10"/>
  <c r="K9"/>
  <c r="K20"/>
  <c r="K19"/>
  <c r="K6"/>
  <c r="K14"/>
  <c r="K15"/>
  <c r="K16"/>
  <c r="K17"/>
  <c r="K5"/>
  <c r="B21"/>
  <c r="C21" s="1"/>
  <c r="H20" i="33"/>
  <c r="H12"/>
  <c r="H13"/>
  <c r="H14"/>
  <c r="H15"/>
  <c r="H16"/>
  <c r="H17"/>
  <c r="H18"/>
  <c r="H19"/>
  <c r="I6"/>
  <c r="H7"/>
  <c r="H8"/>
  <c r="H9"/>
  <c r="H10"/>
  <c r="H11"/>
  <c r="H5"/>
  <c r="E6"/>
  <c r="E7"/>
  <c r="E8"/>
  <c r="E9"/>
  <c r="E10"/>
  <c r="E11"/>
  <c r="E12"/>
  <c r="E13"/>
  <c r="E14"/>
  <c r="E15"/>
  <c r="E16"/>
  <c r="E17"/>
  <c r="E18"/>
  <c r="E19"/>
  <c r="E20"/>
  <c r="B18"/>
  <c r="B8"/>
  <c r="B6"/>
  <c r="B7"/>
  <c r="B9"/>
  <c r="B10"/>
  <c r="B11"/>
  <c r="B12"/>
  <c r="B13"/>
  <c r="B14"/>
  <c r="B15"/>
  <c r="B16"/>
  <c r="B17"/>
  <c r="B19"/>
  <c r="L5" i="25" l="1"/>
  <c r="T5"/>
  <c r="T8"/>
  <c r="L8"/>
  <c r="Q9" i="33"/>
  <c r="R9" s="1"/>
  <c r="K21" i="34"/>
  <c r="Q17" i="33"/>
  <c r="R17" s="1"/>
  <c r="Q13"/>
  <c r="R13" s="1"/>
  <c r="Q12"/>
  <c r="R12" s="1"/>
  <c r="Q16"/>
  <c r="R16" s="1"/>
  <c r="Q8"/>
  <c r="K21"/>
  <c r="L21" s="1"/>
  <c r="S21"/>
  <c r="B21" i="25"/>
  <c r="E21"/>
  <c r="H21"/>
  <c r="K21"/>
  <c r="L21" s="1"/>
  <c r="N21"/>
  <c r="K21" i="11"/>
  <c r="T20" i="25"/>
  <c r="T16"/>
  <c r="T12"/>
  <c r="Q5" i="33"/>
  <c r="B21"/>
  <c r="Q15"/>
  <c r="R15" s="1"/>
  <c r="Q6"/>
  <c r="R6" s="1"/>
  <c r="Q18"/>
  <c r="R18" s="1"/>
  <c r="N21"/>
  <c r="T13" i="25"/>
  <c r="Q19" i="33"/>
  <c r="R19" s="1"/>
  <c r="Q14"/>
  <c r="R14" s="1"/>
  <c r="Q10"/>
  <c r="R10" s="1"/>
  <c r="Q20"/>
  <c r="R20" s="1"/>
  <c r="T19" i="25"/>
  <c r="T15"/>
  <c r="T11"/>
  <c r="T7"/>
  <c r="Q7" i="33"/>
  <c r="R7" s="1"/>
  <c r="E21"/>
  <c r="T18" i="25"/>
  <c r="T14"/>
  <c r="T10"/>
  <c r="T6"/>
  <c r="H21" i="33"/>
  <c r="I21" s="1"/>
  <c r="Q11"/>
  <c r="R11" s="1"/>
  <c r="T17" i="25"/>
  <c r="T9"/>
  <c r="J21" i="14"/>
  <c r="J9"/>
  <c r="Q5" i="25"/>
  <c r="Q21" s="1"/>
  <c r="D17" i="24"/>
  <c r="C17"/>
  <c r="B17"/>
  <c r="E16"/>
  <c r="E15"/>
  <c r="E14"/>
  <c r="E13"/>
  <c r="E12"/>
  <c r="E11"/>
  <c r="E10"/>
  <c r="E9"/>
  <c r="E8"/>
  <c r="E7"/>
  <c r="E6"/>
  <c r="E5"/>
  <c r="U8" i="25" l="1"/>
  <c r="C7" i="26"/>
  <c r="E7" s="1"/>
  <c r="G7" s="1"/>
  <c r="B4"/>
  <c r="B20" s="1"/>
  <c r="R5" i="33"/>
  <c r="U5" i="25"/>
  <c r="C4" i="26"/>
  <c r="B7"/>
  <c r="R8" i="33"/>
  <c r="Q21"/>
  <c r="R21" s="1"/>
  <c r="E17" i="24"/>
  <c r="D15" i="8"/>
  <c r="D11" i="1"/>
  <c r="C20" i="26" l="1"/>
  <c r="E4"/>
  <c r="E20" s="1"/>
  <c r="D20" s="1"/>
  <c r="E28" s="1"/>
  <c r="T21" i="25"/>
  <c r="U21" s="1"/>
  <c r="G4" i="26" l="1"/>
  <c r="I13" i="2" l="1"/>
  <c r="I14"/>
  <c r="J14" s="1"/>
  <c r="E14" s="1"/>
  <c r="T39" i="3"/>
  <c r="U39"/>
  <c r="V39"/>
  <c r="W39"/>
  <c r="X39"/>
  <c r="Y39"/>
  <c r="Z39"/>
  <c r="AA39"/>
  <c r="AB39"/>
  <c r="AC39"/>
  <c r="AD39"/>
  <c r="S39"/>
  <c r="T33"/>
  <c r="U33"/>
  <c r="V33"/>
  <c r="W33"/>
  <c r="X33"/>
  <c r="Y33"/>
  <c r="Z33"/>
  <c r="AA33"/>
  <c r="AB33"/>
  <c r="AC33"/>
  <c r="AD33"/>
  <c r="S33"/>
  <c r="T30"/>
  <c r="U30"/>
  <c r="V30"/>
  <c r="W30"/>
  <c r="X30"/>
  <c r="Y30"/>
  <c r="Z30"/>
  <c r="AA30"/>
  <c r="AB30"/>
  <c r="AC30"/>
  <c r="AD30"/>
  <c r="S30"/>
  <c r="G25" i="4"/>
  <c r="AG19" l="1"/>
  <c r="AH19" s="1"/>
  <c r="AG25"/>
  <c r="AH25" s="1"/>
  <c r="AG17"/>
  <c r="AH17" s="1"/>
  <c r="AG23"/>
  <c r="AH23" s="1"/>
  <c r="AG21"/>
  <c r="AH21" s="1"/>
  <c r="K22" i="6"/>
  <c r="M22" s="1"/>
  <c r="K20"/>
  <c r="M20" s="1"/>
  <c r="K19"/>
  <c r="M19" s="1"/>
  <c r="K18"/>
  <c r="M18" s="1"/>
  <c r="K13"/>
  <c r="M13" s="1"/>
  <c r="K12"/>
  <c r="M12" s="1"/>
  <c r="K11"/>
  <c r="K10"/>
  <c r="M10" s="1"/>
  <c r="K9"/>
  <c r="M9" s="1"/>
  <c r="K7"/>
  <c r="M7" s="1"/>
  <c r="K6"/>
  <c r="M6" s="1"/>
  <c r="K5"/>
  <c r="M5" s="1"/>
  <c r="K20" i="26" l="1"/>
  <c r="K25" s="1"/>
  <c r="I15"/>
  <c r="J16" s="1"/>
  <c r="J15" l="1"/>
  <c r="I19" l="1"/>
  <c r="I18"/>
  <c r="I20" l="1"/>
  <c r="C28" i="5" l="1"/>
  <c r="I10" l="1"/>
  <c r="I9"/>
  <c r="I8"/>
  <c r="I7"/>
  <c r="O51" i="4"/>
  <c r="N51"/>
  <c r="M51"/>
  <c r="L51"/>
  <c r="K51"/>
  <c r="J51"/>
  <c r="I51"/>
  <c r="H51"/>
  <c r="G51"/>
  <c r="F51"/>
  <c r="E51"/>
  <c r="D51"/>
  <c r="C51"/>
  <c r="O49"/>
  <c r="N49"/>
  <c r="M49"/>
  <c r="L49"/>
  <c r="K49"/>
  <c r="J49"/>
  <c r="I49"/>
  <c r="H49"/>
  <c r="G49"/>
  <c r="F49"/>
  <c r="E49"/>
  <c r="D49"/>
  <c r="C49"/>
  <c r="O47"/>
  <c r="N47"/>
  <c r="M47"/>
  <c r="L47"/>
  <c r="K47"/>
  <c r="J47"/>
  <c r="I47"/>
  <c r="H47"/>
  <c r="G47"/>
  <c r="F47"/>
  <c r="E47"/>
  <c r="D47"/>
  <c r="C47"/>
  <c r="O45"/>
  <c r="N45"/>
  <c r="M45"/>
  <c r="L45"/>
  <c r="K45"/>
  <c r="J45"/>
  <c r="I45"/>
  <c r="H45"/>
  <c r="G45"/>
  <c r="F45"/>
  <c r="E45"/>
  <c r="D45"/>
  <c r="C45"/>
  <c r="O43"/>
  <c r="N43"/>
  <c r="M43"/>
  <c r="L43"/>
  <c r="K43"/>
  <c r="J43"/>
  <c r="I43"/>
  <c r="H43"/>
  <c r="G43"/>
  <c r="F43"/>
  <c r="E43"/>
  <c r="D43"/>
  <c r="C43"/>
  <c r="O41"/>
  <c r="N41"/>
  <c r="M41"/>
  <c r="L41"/>
  <c r="K41"/>
  <c r="J41"/>
  <c r="I41"/>
  <c r="H41"/>
  <c r="G41"/>
  <c r="F41"/>
  <c r="E41"/>
  <c r="D41"/>
  <c r="C41"/>
  <c r="O39"/>
  <c r="N39"/>
  <c r="M39"/>
  <c r="L39"/>
  <c r="K39"/>
  <c r="J39"/>
  <c r="I39"/>
  <c r="H39"/>
  <c r="G39"/>
  <c r="F39"/>
  <c r="E39"/>
  <c r="D39"/>
  <c r="C39"/>
  <c r="D37"/>
  <c r="E37"/>
  <c r="F37"/>
  <c r="G37"/>
  <c r="H37"/>
  <c r="I37"/>
  <c r="J37"/>
  <c r="K37"/>
  <c r="L37"/>
  <c r="M37"/>
  <c r="N37"/>
  <c r="O37"/>
  <c r="C37"/>
  <c r="O35"/>
  <c r="N35"/>
  <c r="M35"/>
  <c r="L35"/>
  <c r="K35"/>
  <c r="J35"/>
  <c r="I35"/>
  <c r="H35"/>
  <c r="G35"/>
  <c r="F35"/>
  <c r="E35"/>
  <c r="D35"/>
  <c r="C35"/>
  <c r="D33"/>
  <c r="E33"/>
  <c r="F33"/>
  <c r="G33"/>
  <c r="H33"/>
  <c r="I33"/>
  <c r="J33"/>
  <c r="K33"/>
  <c r="L33"/>
  <c r="M33"/>
  <c r="N33"/>
  <c r="O33"/>
  <c r="C33"/>
  <c r="AD36" i="3"/>
  <c r="AC36"/>
  <c r="AB36"/>
  <c r="AA36"/>
  <c r="Z36"/>
  <c r="Y36"/>
  <c r="X36"/>
  <c r="W36"/>
  <c r="V36"/>
  <c r="U36"/>
  <c r="T36"/>
  <c r="S36"/>
  <c r="P41" i="4" l="1"/>
  <c r="Q41" s="1"/>
  <c r="R41" s="1"/>
  <c r="P47"/>
  <c r="Q47" s="1"/>
  <c r="R47" s="1"/>
  <c r="P37"/>
  <c r="Q37" s="1"/>
  <c r="R37" s="1"/>
  <c r="P39"/>
  <c r="Q39" s="1"/>
  <c r="R39" s="1"/>
  <c r="P33"/>
  <c r="Q33" s="1"/>
  <c r="R33" s="1"/>
  <c r="P43"/>
  <c r="Q43" s="1"/>
  <c r="R43" s="1"/>
  <c r="P49"/>
  <c r="Q49" s="1"/>
  <c r="R49" s="1"/>
  <c r="P51"/>
  <c r="Q51" s="1"/>
  <c r="R51" s="1"/>
  <c r="P35"/>
  <c r="Q35" s="1"/>
  <c r="R35" s="1"/>
  <c r="P45"/>
  <c r="Q45" s="1"/>
  <c r="R45" s="1"/>
  <c r="I11" i="5"/>
  <c r="J13" i="2" l="1"/>
  <c r="S43" i="3" l="1"/>
  <c r="I12" i="2" l="1"/>
  <c r="J12" s="1"/>
  <c r="AE38" i="3" l="1"/>
  <c r="AF38" s="1"/>
  <c r="AG38" s="1"/>
  <c r="AH38" s="1"/>
  <c r="AE37"/>
  <c r="AE29"/>
  <c r="AF29" s="1"/>
  <c r="AG29" s="1"/>
  <c r="AH29" s="1"/>
  <c r="AE28"/>
  <c r="AE30" s="1"/>
  <c r="S18"/>
  <c r="AH15"/>
  <c r="AH12"/>
  <c r="AH9"/>
  <c r="AH6"/>
  <c r="I11" i="2"/>
  <c r="J11" s="1"/>
  <c r="AE39" i="3" l="1"/>
  <c r="AF37"/>
  <c r="AF39" s="1"/>
  <c r="AF28"/>
  <c r="AF30" s="1"/>
  <c r="AE34"/>
  <c r="AF34" s="1"/>
  <c r="AE35"/>
  <c r="AF35" s="1"/>
  <c r="AG35" s="1"/>
  <c r="AH35" s="1"/>
  <c r="AE31"/>
  <c r="AF31" s="1"/>
  <c r="AE32"/>
  <c r="AF32" s="1"/>
  <c r="AG32" s="1"/>
  <c r="AH32" s="1"/>
  <c r="AF36" l="1"/>
  <c r="AG36" s="1"/>
  <c r="AH5"/>
  <c r="AG31"/>
  <c r="AH31" s="1"/>
  <c r="AH33" s="1"/>
  <c r="AF33"/>
  <c r="AG33" s="1"/>
  <c r="AG37"/>
  <c r="AG39" s="1"/>
  <c r="AG34"/>
  <c r="AH34" s="1"/>
  <c r="AH36" s="1"/>
  <c r="AG28"/>
  <c r="AG30" s="1"/>
  <c r="AH11" l="1"/>
  <c r="AH8"/>
  <c r="AH14"/>
  <c r="AH37"/>
  <c r="AH39" s="1"/>
  <c r="AH28"/>
  <c r="AH30" s="1"/>
  <c r="Z1" i="4"/>
  <c r="I4" i="2" l="1"/>
  <c r="J4" s="1"/>
  <c r="I5"/>
  <c r="J5" s="1"/>
  <c r="I6"/>
  <c r="J6" s="1"/>
  <c r="I7"/>
  <c r="J7" s="1"/>
  <c r="I8"/>
  <c r="J8" s="1"/>
  <c r="I9"/>
  <c r="J9" s="1"/>
  <c r="I10"/>
  <c r="J10" s="1"/>
</calcChain>
</file>

<file path=xl/sharedStrings.xml><?xml version="1.0" encoding="utf-8"?>
<sst xmlns="http://schemas.openxmlformats.org/spreadsheetml/2006/main" count="2776" uniqueCount="751">
  <si>
    <t>الموقع</t>
  </si>
  <si>
    <t>نهر دجلة وروافده عدا العظيم</t>
  </si>
  <si>
    <t>العظيم</t>
  </si>
  <si>
    <t>نهر الفرات في حصيبة</t>
  </si>
  <si>
    <t>السنة المائية</t>
  </si>
  <si>
    <t>(2011-2010)</t>
  </si>
  <si>
    <t>(2012-2011)</t>
  </si>
  <si>
    <t>المصدر : وزارة الموارد المائية / دائرة التخطيط والمتابعة / قسم السياسات البيئية</t>
  </si>
  <si>
    <t>عدد السكان *</t>
  </si>
  <si>
    <t>(2006-2005)</t>
  </si>
  <si>
    <t>(2007-2006)</t>
  </si>
  <si>
    <t>(2008-2007)</t>
  </si>
  <si>
    <t>(2009-2008)</t>
  </si>
  <si>
    <t>(2010-2009)</t>
  </si>
  <si>
    <t>ت</t>
  </si>
  <si>
    <t>الموضوع</t>
  </si>
  <si>
    <t>ت1</t>
  </si>
  <si>
    <t>ت2</t>
  </si>
  <si>
    <t>ك1</t>
  </si>
  <si>
    <t>ك2</t>
  </si>
  <si>
    <t>شباط</t>
  </si>
  <si>
    <t>أذار</t>
  </si>
  <si>
    <t>نيسان</t>
  </si>
  <si>
    <t>آيار</t>
  </si>
  <si>
    <t>حزيران</t>
  </si>
  <si>
    <t>تموز</t>
  </si>
  <si>
    <t>أب</t>
  </si>
  <si>
    <t>أيلول</t>
  </si>
  <si>
    <t>1ـ</t>
  </si>
  <si>
    <t xml:space="preserve">المعدل الشهري </t>
  </si>
  <si>
    <t>المعدل الشهري العام</t>
  </si>
  <si>
    <t>2ـ</t>
  </si>
  <si>
    <t>3ـ</t>
  </si>
  <si>
    <t>4ـ</t>
  </si>
  <si>
    <t>5ـ</t>
  </si>
  <si>
    <t>6ـ</t>
  </si>
  <si>
    <t>7ـ</t>
  </si>
  <si>
    <t>8ـ</t>
  </si>
  <si>
    <t xml:space="preserve">مجموع (1) و (2) و (3) </t>
  </si>
  <si>
    <t>الوارد السنوي</t>
  </si>
  <si>
    <t>آذار</t>
  </si>
  <si>
    <t>آب</t>
  </si>
  <si>
    <t>حوض دجلة</t>
  </si>
  <si>
    <t>حوض الفرات</t>
  </si>
  <si>
    <t>المعدل السنوي (م³/ ثا)</t>
  </si>
  <si>
    <t>الزاب الأسفل (قناة ري كركوك)</t>
  </si>
  <si>
    <t>نوع الإستخدامات</t>
  </si>
  <si>
    <t>المجموع</t>
  </si>
  <si>
    <r>
      <t>ت</t>
    </r>
    <r>
      <rPr>
        <b/>
        <sz val="9"/>
        <rFont val="Times New Roman"/>
        <family val="1"/>
      </rPr>
      <t>1</t>
    </r>
  </si>
  <si>
    <r>
      <t>ت</t>
    </r>
    <r>
      <rPr>
        <b/>
        <sz val="9"/>
        <rFont val="Times New Roman"/>
        <family val="1"/>
      </rPr>
      <t>2</t>
    </r>
  </si>
  <si>
    <r>
      <t>ك</t>
    </r>
    <r>
      <rPr>
        <b/>
        <sz val="9"/>
        <rFont val="Times New Roman"/>
        <family val="1"/>
      </rPr>
      <t>1</t>
    </r>
  </si>
  <si>
    <r>
      <t>ك</t>
    </r>
    <r>
      <rPr>
        <b/>
        <sz val="9"/>
        <rFont val="Times New Roman"/>
        <family val="1"/>
      </rPr>
      <t>2</t>
    </r>
  </si>
  <si>
    <t>. 1</t>
  </si>
  <si>
    <t>سد الموصل</t>
  </si>
  <si>
    <t>. 2</t>
  </si>
  <si>
    <t>الشرقاط</t>
  </si>
  <si>
    <t>. 3</t>
  </si>
  <si>
    <t>. 4</t>
  </si>
  <si>
    <t>دبس</t>
  </si>
  <si>
    <t>5 .</t>
  </si>
  <si>
    <t>بغداد</t>
  </si>
  <si>
    <t>. 6</t>
  </si>
  <si>
    <t>سدة سامراء</t>
  </si>
  <si>
    <t>. 7</t>
  </si>
  <si>
    <t>دربندخان</t>
  </si>
  <si>
    <t>. 8</t>
  </si>
  <si>
    <t>سد حمرين</t>
  </si>
  <si>
    <t>. 9</t>
  </si>
  <si>
    <t>داقوق</t>
  </si>
  <si>
    <t>. 10</t>
  </si>
  <si>
    <t>. 11</t>
  </si>
  <si>
    <t>. 12</t>
  </si>
  <si>
    <t>حديثة</t>
  </si>
  <si>
    <t>. 13</t>
  </si>
  <si>
    <t xml:space="preserve">سدة الهندية </t>
  </si>
  <si>
    <t>. 14</t>
  </si>
  <si>
    <t>سدة الكوت</t>
  </si>
  <si>
    <t>. 15</t>
  </si>
  <si>
    <t>علي الغربي</t>
  </si>
  <si>
    <t>السليمانية</t>
  </si>
  <si>
    <t>أربيل</t>
  </si>
  <si>
    <t>. 16</t>
  </si>
  <si>
    <t>. 17</t>
  </si>
  <si>
    <t>الاشهر</t>
  </si>
  <si>
    <t>سد دوكان</t>
  </si>
  <si>
    <t>سد دربندخان</t>
  </si>
  <si>
    <t>بحيرة الثرثار</t>
  </si>
  <si>
    <t>سد حديثة</t>
  </si>
  <si>
    <t>بحيرة الحبانية</t>
  </si>
  <si>
    <t>بحيرة الرزازة</t>
  </si>
  <si>
    <t>تشرين الاول</t>
  </si>
  <si>
    <t>تشرين الثاني</t>
  </si>
  <si>
    <t>كانون الاول</t>
  </si>
  <si>
    <t>كانون الثاني</t>
  </si>
  <si>
    <t>الحوض</t>
  </si>
  <si>
    <t>السد أو البحيرة</t>
  </si>
  <si>
    <t>المنسوب ( م )</t>
  </si>
  <si>
    <t>السعة * (مليار م³)</t>
  </si>
  <si>
    <t>حوضي دجلة والفرات</t>
  </si>
  <si>
    <t>حوض العظيم</t>
  </si>
  <si>
    <t>سد العظيم</t>
  </si>
  <si>
    <t>النسبة المئوية للزيادة</t>
  </si>
  <si>
    <t>كربلاء</t>
  </si>
  <si>
    <t>المحافظة</t>
  </si>
  <si>
    <t>نينوى</t>
  </si>
  <si>
    <t>كركوك</t>
  </si>
  <si>
    <t>ديالى</t>
  </si>
  <si>
    <t>صلاح الدين</t>
  </si>
  <si>
    <t>أطراف بغداد</t>
  </si>
  <si>
    <t>واسط</t>
  </si>
  <si>
    <t>بابل</t>
  </si>
  <si>
    <t>النجف</t>
  </si>
  <si>
    <t>القادسية</t>
  </si>
  <si>
    <t>المثنى</t>
  </si>
  <si>
    <t>ذي قار</t>
  </si>
  <si>
    <t>ميسان</t>
  </si>
  <si>
    <t>البصرة</t>
  </si>
  <si>
    <t>أمانة بغداد</t>
  </si>
  <si>
    <t>المجموع الكلي</t>
  </si>
  <si>
    <t>ريف</t>
  </si>
  <si>
    <t>نصيب الفرد من الواردات (م³/سنة)</t>
  </si>
  <si>
    <t>ــ يتبع ــ</t>
  </si>
  <si>
    <t>(مستعمرة)</t>
  </si>
  <si>
    <t>المشاريع</t>
  </si>
  <si>
    <t>العدّ البكتيري</t>
  </si>
  <si>
    <t>بكتريا القولون</t>
  </si>
  <si>
    <t>بكتريا القولون البرازية</t>
  </si>
  <si>
    <t>Min.</t>
  </si>
  <si>
    <t>Max.</t>
  </si>
  <si>
    <t>الكرخ</t>
  </si>
  <si>
    <t xml:space="preserve">شرق دجلة </t>
  </si>
  <si>
    <t>الصدر</t>
  </si>
  <si>
    <t>الوثبة</t>
  </si>
  <si>
    <t>الكرامة</t>
  </si>
  <si>
    <t>الدورة</t>
  </si>
  <si>
    <t xml:space="preserve">الوحدة </t>
  </si>
  <si>
    <t>الرشيد</t>
  </si>
  <si>
    <t xml:space="preserve">بكتريا القولون </t>
  </si>
  <si>
    <t xml:space="preserve">الحدود الدنيا والعليا للفحوصات البكتريولوجية </t>
  </si>
  <si>
    <t>معدل الفحوصات البكتريولوجية</t>
  </si>
  <si>
    <t xml:space="preserve"> نوع الفحص </t>
  </si>
  <si>
    <t>وحدة القياس</t>
  </si>
  <si>
    <t xml:space="preserve">ماء النهر </t>
  </si>
  <si>
    <t>ماء الشرب</t>
  </si>
  <si>
    <t>Ave.</t>
  </si>
  <si>
    <t>اللون</t>
  </si>
  <si>
    <t xml:space="preserve">Color </t>
  </si>
  <si>
    <t>درجة الحرارة</t>
  </si>
  <si>
    <t xml:space="preserve">Temperature           </t>
  </si>
  <si>
    <t xml:space="preserve">C° </t>
  </si>
  <si>
    <t>العكورة</t>
  </si>
  <si>
    <t>mg/L</t>
  </si>
  <si>
    <t>PH</t>
  </si>
  <si>
    <t>القاعدية</t>
  </si>
  <si>
    <t xml:space="preserve"> العسرة الكلية</t>
  </si>
  <si>
    <t>الكالسيوم</t>
  </si>
  <si>
    <t>Calcium as Ca</t>
  </si>
  <si>
    <t>المغنيسيوم</t>
  </si>
  <si>
    <t>Magnesium as Mg</t>
  </si>
  <si>
    <t>الكلورايد</t>
  </si>
  <si>
    <t>Chloride as CL</t>
  </si>
  <si>
    <t xml:space="preserve"> mg/L</t>
  </si>
  <si>
    <t>التوصيل الكهربائي</t>
  </si>
  <si>
    <t xml:space="preserve">Conductivity </t>
  </si>
  <si>
    <t>µs/cm</t>
  </si>
  <si>
    <t>الالمنيوم</t>
  </si>
  <si>
    <t xml:space="preserve">Aluminium as AL </t>
  </si>
  <si>
    <t>mg /L</t>
  </si>
  <si>
    <t xml:space="preserve"> المواد الصلبة المذابة</t>
  </si>
  <si>
    <t>Total Dissolve solids</t>
  </si>
  <si>
    <t>المواد العالقة الصلبة*</t>
  </si>
  <si>
    <t xml:space="preserve">Suspended solids </t>
  </si>
  <si>
    <t xml:space="preserve">Iron as Fe </t>
  </si>
  <si>
    <t xml:space="preserve">الكبريتات </t>
  </si>
  <si>
    <t xml:space="preserve">الفلورايد  </t>
  </si>
  <si>
    <t xml:space="preserve">Fluoride as F </t>
  </si>
  <si>
    <t xml:space="preserve">امونيا </t>
  </si>
  <si>
    <t xml:space="preserve">نتريت   </t>
  </si>
  <si>
    <t xml:space="preserve">نترات </t>
  </si>
  <si>
    <t xml:space="preserve">سيلكا </t>
  </si>
  <si>
    <t xml:space="preserve">الفوسفات  </t>
  </si>
  <si>
    <t>كاديميوم</t>
  </si>
  <si>
    <t xml:space="preserve">Cadmium as Cd </t>
  </si>
  <si>
    <t>رصاص</t>
  </si>
  <si>
    <t>Lead as Pb</t>
  </si>
  <si>
    <t>منغنيز</t>
  </si>
  <si>
    <t>Manganese as Mn</t>
  </si>
  <si>
    <t>نحاس</t>
  </si>
  <si>
    <t>Copper as Cu</t>
  </si>
  <si>
    <t>كروم</t>
  </si>
  <si>
    <t>Chromium as Cr</t>
  </si>
  <si>
    <t>زنك</t>
  </si>
  <si>
    <t>Zinc as Zn</t>
  </si>
  <si>
    <t>صوديوم</t>
  </si>
  <si>
    <t>Sodium as Na</t>
  </si>
  <si>
    <t>بوتاسيوم</t>
  </si>
  <si>
    <t xml:space="preserve">Potassium as K </t>
  </si>
  <si>
    <t>زرنيخ</t>
  </si>
  <si>
    <t>Arsenic as As</t>
  </si>
  <si>
    <t>زئبق</t>
  </si>
  <si>
    <t>Mercury as Hg</t>
  </si>
  <si>
    <t xml:space="preserve">وحدة القياس </t>
  </si>
  <si>
    <t>Turbidity</t>
  </si>
  <si>
    <t>العسرة الكلية</t>
  </si>
  <si>
    <t>T.H.</t>
  </si>
  <si>
    <t>ALK.</t>
  </si>
  <si>
    <t xml:space="preserve">الأملاح الذائبة الكلية            </t>
  </si>
  <si>
    <t>T.D.S.</t>
  </si>
  <si>
    <t xml:space="preserve">الأس الهيدروجيني                                </t>
  </si>
  <si>
    <t xml:space="preserve">الكلوريدات </t>
  </si>
  <si>
    <t>Cl</t>
  </si>
  <si>
    <t xml:space="preserve">الكالسيوم  </t>
  </si>
  <si>
    <t>Ca</t>
  </si>
  <si>
    <t xml:space="preserve">المغنيسيوم  </t>
  </si>
  <si>
    <t>Mg</t>
  </si>
  <si>
    <t xml:space="preserve">التوصيل الكهربائي                                           </t>
  </si>
  <si>
    <t>E.C.</t>
  </si>
  <si>
    <t>الصوديوم</t>
  </si>
  <si>
    <t>Na</t>
  </si>
  <si>
    <t>البوتاسيوم</t>
  </si>
  <si>
    <t>K</t>
  </si>
  <si>
    <t>الكبريتات</t>
  </si>
  <si>
    <t>SO4</t>
  </si>
  <si>
    <t xml:space="preserve">تشرين الأول </t>
  </si>
  <si>
    <t>كانون الأول</t>
  </si>
  <si>
    <t>الحمّار</t>
  </si>
  <si>
    <t>ت 1</t>
  </si>
  <si>
    <t>ت 2</t>
  </si>
  <si>
    <t>ك 1</t>
  </si>
  <si>
    <t>معدل التصريف ( م³/ ثا)</t>
  </si>
  <si>
    <t>هور الحويزة</t>
  </si>
  <si>
    <t xml:space="preserve">الدالة الحامضية </t>
  </si>
  <si>
    <t>D.O.</t>
  </si>
  <si>
    <t>مجموعة الاملاح الكلية</t>
  </si>
  <si>
    <t>T.D.S</t>
  </si>
  <si>
    <t xml:space="preserve">التوصيلية </t>
  </si>
  <si>
    <t>Cond.</t>
  </si>
  <si>
    <t>النترات</t>
  </si>
  <si>
    <t>NO3</t>
  </si>
  <si>
    <t>الفوسفات</t>
  </si>
  <si>
    <t>PO4</t>
  </si>
  <si>
    <t>عسرة المغنيسيوم</t>
  </si>
  <si>
    <t>نهر دجلة الرئيسي</t>
  </si>
  <si>
    <t xml:space="preserve"> ديالى</t>
  </si>
  <si>
    <t>الحديد</t>
  </si>
  <si>
    <t>نوع الفحص</t>
  </si>
  <si>
    <t>المعدل السنوي العام (م³/ ثا)</t>
  </si>
  <si>
    <t>E.coli / 100 ml</t>
  </si>
  <si>
    <r>
      <t>Alkalinity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 </t>
    </r>
  </si>
  <si>
    <r>
      <t>Total Hardness as CaCo</t>
    </r>
    <r>
      <rPr>
        <b/>
        <sz val="8"/>
        <rFont val="Times New Roman"/>
        <family val="1"/>
      </rPr>
      <t>3</t>
    </r>
    <r>
      <rPr>
        <b/>
        <sz val="10"/>
        <rFont val="Times New Roman"/>
        <family val="1"/>
      </rPr>
      <t xml:space="preserve"> </t>
    </r>
  </si>
  <si>
    <r>
      <t>Sulfate as SO</t>
    </r>
    <r>
      <rPr>
        <b/>
        <sz val="8"/>
        <rFont val="Times New Roman"/>
        <family val="1"/>
      </rPr>
      <t>4</t>
    </r>
    <r>
      <rPr>
        <b/>
        <sz val="10"/>
        <rFont val="Times New Roman"/>
        <family val="1"/>
      </rPr>
      <t xml:space="preserve"> </t>
    </r>
  </si>
  <si>
    <r>
      <t>SO</t>
    </r>
    <r>
      <rPr>
        <b/>
        <sz val="9"/>
        <rFont val="Times New Roman"/>
        <family val="1"/>
      </rPr>
      <t>4</t>
    </r>
  </si>
  <si>
    <t>(2013-2012)</t>
  </si>
  <si>
    <t>إجمالي</t>
  </si>
  <si>
    <t>البلديات</t>
  </si>
  <si>
    <t xml:space="preserve">Turbidity </t>
  </si>
  <si>
    <t>N.T.U</t>
  </si>
  <si>
    <r>
      <t>Ammonia as NH</t>
    </r>
    <r>
      <rPr>
        <b/>
        <sz val="8"/>
        <rFont val="Times New Roman"/>
        <family val="1"/>
      </rPr>
      <t>3</t>
    </r>
  </si>
  <si>
    <r>
      <t>Nitrite as NO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</si>
  <si>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Nitrate as NO</t>
    </r>
    <r>
      <rPr>
        <b/>
        <sz val="8"/>
        <rFont val="Simplified Arabic"/>
        <family val="1"/>
      </rPr>
      <t>3</t>
    </r>
    <r>
      <rPr>
        <b/>
        <sz val="10"/>
        <rFont val="Simplified Arabic"/>
        <family val="1"/>
      </rPr>
      <t xml:space="preserve"> </t>
    </r>
  </si>
  <si>
    <r>
      <t>Silica as SiO</t>
    </r>
    <r>
      <rPr>
        <b/>
        <sz val="8"/>
        <rFont val="Simplified Arabic"/>
        <family val="1"/>
      </rPr>
      <t>2</t>
    </r>
    <r>
      <rPr>
        <b/>
        <sz val="10"/>
        <rFont val="Simplified Arabic"/>
        <family val="1"/>
      </rPr>
      <t xml:space="preserve"> </t>
    </r>
  </si>
  <si>
    <r>
      <t>Phosphate as  PO</t>
    </r>
    <r>
      <rPr>
        <b/>
        <sz val="8"/>
        <rFont val="Simplified Arabic"/>
        <family val="1"/>
      </rPr>
      <t>4</t>
    </r>
    <r>
      <rPr>
        <b/>
        <sz val="10"/>
        <rFont val="Simplified Arabic"/>
        <family val="1"/>
      </rPr>
      <t xml:space="preserve"> </t>
    </r>
  </si>
  <si>
    <t>مجموع</t>
  </si>
  <si>
    <t>تقسيم 12</t>
  </si>
  <si>
    <t>رافد الزاب الأعلى*</t>
  </si>
  <si>
    <t>رافد الزاب الأسفل</t>
  </si>
  <si>
    <t>رافد نهر العظيم**</t>
  </si>
  <si>
    <t>رافد نهر ديالى</t>
  </si>
  <si>
    <t>حوض العظيم (مؤخر سد العظيم)</t>
  </si>
  <si>
    <t>الإجمالي</t>
  </si>
  <si>
    <t xml:space="preserve">النسبة المئوية </t>
  </si>
  <si>
    <t xml:space="preserve">   ــ يتبع ــ</t>
  </si>
  <si>
    <t xml:space="preserve">** يشمل إيراد نهر العظيم الكمية الفائضة من مشروع ري كركوك علماً أن حوض العظيم يعتمد على الأمطار فقط ومعدله العام محسوب للفترة من (1945-1990)                                                                                                                   </t>
  </si>
  <si>
    <t>**** تم إعتماد المعدل العام لنهر الفرات في حصيبة للمدة من ( 1994 - 2012 ) بعد أكمال سد اتاتورك وهو وارد تشغيلي يعتمد على التصاريف المطلقة من سدود تركيا وسوريا</t>
  </si>
  <si>
    <t>إيراد نهر الفرات في حصيبة ****</t>
  </si>
  <si>
    <t>النسبة المئوية</t>
  </si>
  <si>
    <t xml:space="preserve">آذار </t>
  </si>
  <si>
    <t>الزاب الأسفل</t>
  </si>
  <si>
    <t>الأس الهيدروجيني</t>
  </si>
  <si>
    <t xml:space="preserve">   * فحص المواد العالقة الصلبة يجرى لماء النهر فقط </t>
  </si>
  <si>
    <t xml:space="preserve">   المصدر : أمانة بغداد / دائرة ماء بغداد / قسم السيطرة النوعية </t>
  </si>
  <si>
    <t>الأوكسجين المذاب</t>
  </si>
  <si>
    <t>أملاح الكبريتات</t>
  </si>
  <si>
    <t>المصدر : أمانة بغداد / دائرة ماء بغداد / قسم السيطرة النوعية</t>
  </si>
  <si>
    <t>الزراعية</t>
  </si>
  <si>
    <t>الصناعية</t>
  </si>
  <si>
    <t>البيئية</t>
  </si>
  <si>
    <t>قسم إحصاءات البيئة - الجهاز المركزي للإحصاء / العراق</t>
  </si>
  <si>
    <t>(2014-2013)</t>
  </si>
  <si>
    <t>2014-2013</t>
  </si>
  <si>
    <t>إجمالي التجهيز      (مليار م³)</t>
  </si>
  <si>
    <t xml:space="preserve"> </t>
  </si>
  <si>
    <t xml:space="preserve">الكاظمية </t>
  </si>
  <si>
    <t xml:space="preserve">* إيرادات الزاب الاعلى تقديرية لعدم وجود رصودات فعلية للتصريف، معدله العام محسوب للمدة (1932-1990) ويمثل واردات موقعي الزاب الأعلى في أسكي كلك والخازر في المنكوبة </t>
  </si>
  <si>
    <t>الأهوار الوسطى</t>
  </si>
  <si>
    <t>إجمالي الواردات (مليار م³)</t>
  </si>
  <si>
    <t>المعدل الشهري ( م³ / ثا)</t>
  </si>
  <si>
    <t>المناطق المؤثرة على النهر</t>
  </si>
  <si>
    <t xml:space="preserve">                                  </t>
  </si>
  <si>
    <t>حوض ديالى                   ( مؤخر سد حمرين)</t>
  </si>
  <si>
    <t>2014 - 2015</t>
  </si>
  <si>
    <t>جدول (1-2)</t>
  </si>
  <si>
    <t>جدول (1-3)</t>
  </si>
  <si>
    <t xml:space="preserve"> تابع/ جدول (1-3)</t>
  </si>
  <si>
    <t>(2015-2014)</t>
  </si>
  <si>
    <t>جدول (1-5)</t>
  </si>
  <si>
    <t>جدول (1-4)</t>
  </si>
  <si>
    <t>جدول (1-6)</t>
  </si>
  <si>
    <t>بدرة</t>
  </si>
  <si>
    <t>. 18</t>
  </si>
  <si>
    <t>الناصرية</t>
  </si>
  <si>
    <t>جدول (1-7)</t>
  </si>
  <si>
    <t xml:space="preserve">سد حمرين </t>
  </si>
  <si>
    <t>دهوك</t>
  </si>
  <si>
    <t>جدول (1-8)</t>
  </si>
  <si>
    <t>جدول (1-9 ب)</t>
  </si>
  <si>
    <t>المنطقة المحصورة بين محطة الرصد (E10) في بابل وحتى منطقة الخضر في المثنى (E16)</t>
  </si>
  <si>
    <t>المنطقة المحصورة بين محطة الرصد (E10) في بابل وحتى منطقة شمال مدينة الناصرية في ذي قار (E17)</t>
  </si>
  <si>
    <t>جدول (1-9 أ)</t>
  </si>
  <si>
    <r>
      <t xml:space="preserve">جدول (1-9 </t>
    </r>
    <r>
      <rPr>
        <b/>
        <sz val="12"/>
        <rFont val="Times New Roman"/>
        <family val="1"/>
        <scheme val="major"/>
      </rPr>
      <t>ج</t>
    </r>
    <r>
      <rPr>
        <b/>
        <sz val="12"/>
        <rFont val="Arial"/>
        <family val="2"/>
      </rPr>
      <t>)</t>
    </r>
  </si>
  <si>
    <t>الموسم الشتوي ( م³/ ثا)</t>
  </si>
  <si>
    <t>الموسم الصيفي ( م³/ ثا)</t>
  </si>
  <si>
    <t>الأشهر</t>
  </si>
  <si>
    <t>الحويزة</t>
  </si>
  <si>
    <t>الوسطى</t>
  </si>
  <si>
    <t>&lt;0.01</t>
  </si>
  <si>
    <t>&lt;0.001</t>
  </si>
  <si>
    <t>&lt;0.002</t>
  </si>
  <si>
    <t>&lt;0.02</t>
  </si>
  <si>
    <t>حوض ديالى (مؤخر سد حمرين)</t>
  </si>
  <si>
    <t>(ملم)</t>
  </si>
  <si>
    <t>المنزلية</t>
  </si>
  <si>
    <t xml:space="preserve"> مشاريع المياه</t>
  </si>
  <si>
    <t xml:space="preserve"> النسبة المئوية لمعدل كميات المياه المنتجة إلى الطاقة التصميمية </t>
  </si>
  <si>
    <t>العدد</t>
  </si>
  <si>
    <t>%</t>
  </si>
  <si>
    <t>قسم احصاءات البيئة - الجهاز المركزي للاحصاء / العراق</t>
  </si>
  <si>
    <t>جدول (1 ــ 10)</t>
  </si>
  <si>
    <t>المجمعات المائية</t>
  </si>
  <si>
    <r>
      <t>مجموع الطاقات التصميمية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</si>
  <si>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r>
      <t>معدل الطاقات المتاحة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</si>
  <si>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جدول (1 ــ 11)</t>
  </si>
  <si>
    <t>النسبة المئوية لمعدل كميات المياه المنتجة إلى الطاقة التصميمية</t>
  </si>
  <si>
    <r>
      <t xml:space="preserve"> معدل كميات المياه المنتجة (م</t>
    </r>
    <r>
      <rPr>
        <b/>
        <vertAlign val="superscript"/>
        <sz val="10"/>
        <rFont val="Arial"/>
        <family val="2"/>
      </rPr>
      <t>₃</t>
    </r>
    <r>
      <rPr>
        <b/>
        <sz val="10"/>
        <rFont val="Arial"/>
        <family val="2"/>
      </rPr>
      <t>/ يوم)</t>
    </r>
  </si>
  <si>
    <t>جدول (1 ــ 12)</t>
  </si>
  <si>
    <t>محطات تحلية المياه (RO)</t>
  </si>
  <si>
    <t xml:space="preserve">النسبة المئوية لمعدل كميات المياه المحلاة المنتجة إلى الطاقة التصميمية </t>
  </si>
  <si>
    <t>جدول (1 ــ 13)</t>
  </si>
  <si>
    <t>المحطات العاملة بالطاقة الشمسية</t>
  </si>
  <si>
    <t>جدول (1 ــ 14)</t>
  </si>
  <si>
    <t>(م³/ يوم)</t>
  </si>
  <si>
    <t>مشاريع المياه</t>
  </si>
  <si>
    <t>جدول (1 ــ 15)</t>
  </si>
  <si>
    <t xml:space="preserve">معدل كميات المياه المفقودة (الضياعات) أثناء النقل بشبكة توزيع المياه </t>
  </si>
  <si>
    <t xml:space="preserve">النسبة المئوية لمعدل كميات المياه المفقودة (الضياعات) أثناء النقل بشبكة توزيع المياه </t>
  </si>
  <si>
    <t xml:space="preserve">حضر </t>
  </si>
  <si>
    <t>جدول (1 ــ 16)</t>
  </si>
  <si>
    <t>عدد السكان المخدومين بشبكات توزيع المياه الصالحة للشرب (نسمة)</t>
  </si>
  <si>
    <t>عدد السكان الكلي في المحافظة (نسمة) *</t>
  </si>
  <si>
    <t>* عدد السكان حسب تقديرات الجهاز المركزي للإحصاء</t>
  </si>
  <si>
    <t>جدول (1 ــ 17)</t>
  </si>
  <si>
    <t>عدد السكان المخدومين</t>
  </si>
  <si>
    <t>نسبة السكان المخدومين</t>
  </si>
  <si>
    <t>حضر</t>
  </si>
  <si>
    <t xml:space="preserve">ريف </t>
  </si>
  <si>
    <t>جدول (1 ــ 18)</t>
  </si>
  <si>
    <t>.. بيانات غير متوفرة بسبب تدهور الوضع الأمني فيها</t>
  </si>
  <si>
    <t xml:space="preserve">الماء الخام </t>
  </si>
  <si>
    <t xml:space="preserve">.. بيانات غير متوفرة </t>
  </si>
  <si>
    <t xml:space="preserve">بحيرة الثرثار </t>
  </si>
  <si>
    <t xml:space="preserve">سد العظيم </t>
  </si>
  <si>
    <t xml:space="preserve">بحيرة الحبانية </t>
  </si>
  <si>
    <t xml:space="preserve">المنطقة المحصورة بين محطة رصد منطقة بعقوبة (DI5) </t>
  </si>
  <si>
    <t xml:space="preserve">المنطقة المحصورة بين محطة رصد منطقة بعقوبة (DI5) وحتى منطقة جسر ديالى الجديد (DI6) </t>
  </si>
  <si>
    <t>.. بيانات غير متوفرة</t>
  </si>
  <si>
    <r>
      <rPr>
        <b/>
        <sz val="10"/>
        <rFont val="Arial"/>
        <family val="2"/>
      </rPr>
      <t>(الف</t>
    </r>
    <r>
      <rPr>
        <b/>
        <sz val="12"/>
        <rFont val="Arial"/>
        <family val="2"/>
      </rPr>
      <t xml:space="preserve"> م³)</t>
    </r>
  </si>
  <si>
    <t>العدد الكلي</t>
  </si>
  <si>
    <t xml:space="preserve">مجموع الطاقات التصميمية </t>
  </si>
  <si>
    <t xml:space="preserve"> (م³/ يوم)</t>
  </si>
  <si>
    <t>المياه السطحية</t>
  </si>
  <si>
    <t>المياه الجوفية</t>
  </si>
  <si>
    <t xml:space="preserve">صلاح الدين </t>
  </si>
  <si>
    <t>المشاريع والمجمعات المائية</t>
  </si>
  <si>
    <t xml:space="preserve">العدد الكلي </t>
  </si>
  <si>
    <t>العاملة</t>
  </si>
  <si>
    <t>المتوقفة</t>
  </si>
  <si>
    <t xml:space="preserve">العاملة   جزئياً </t>
  </si>
  <si>
    <t xml:space="preserve">العاملة    جزئياً </t>
  </si>
  <si>
    <t>الحاجة التقديرية لكمية المياه الصالحة للشرب (م³/ يوم)</t>
  </si>
  <si>
    <t>جدول (1 ــ 19)</t>
  </si>
  <si>
    <t>منزلي</t>
  </si>
  <si>
    <t>حكومي</t>
  </si>
  <si>
    <t>أخرى</t>
  </si>
  <si>
    <t>جدول (1 ــ 20)</t>
  </si>
  <si>
    <t>جدول (1 ــ 21)</t>
  </si>
  <si>
    <t>أهم المشاكل</t>
  </si>
  <si>
    <t>عدد المحافظات</t>
  </si>
  <si>
    <t>أسماء المحافظات</t>
  </si>
  <si>
    <t>عدم كفاءة المشروع</t>
  </si>
  <si>
    <t>شحة المياه الخام في المصدر المائي</t>
  </si>
  <si>
    <t>تلوث مياه المصدر</t>
  </si>
  <si>
    <t>قدم الشبكة وضعفها</t>
  </si>
  <si>
    <t>أنتاج المشروع لا يسد الحاجة</t>
  </si>
  <si>
    <t>ضعف الصيانة وعدم الإدامة</t>
  </si>
  <si>
    <t>شحة الأدوات الاحتياطية والمواد الأولية</t>
  </si>
  <si>
    <t>قلة الكادر الفني والإداري</t>
  </si>
  <si>
    <t>عدم كفاءة الكادر الفني</t>
  </si>
  <si>
    <t>شحة وتذبذب الطاقة الكهربائية اللازمة للتشغيل</t>
  </si>
  <si>
    <t>تجاوزات المواطنين على الشبكة</t>
  </si>
  <si>
    <t>ضعف الوعي لدى المواطن بترشيد الاستهلاك</t>
  </si>
  <si>
    <t xml:space="preserve">الإجمالي </t>
  </si>
  <si>
    <t>(2016-2015)</t>
  </si>
  <si>
    <t xml:space="preserve">الكمية (م³/ يوم)  </t>
  </si>
  <si>
    <t>كمية المياه المنتجة والموزّعة حسب القطاع ( م³/ يوم)</t>
  </si>
  <si>
    <t>التوزيع النسبي للمياه المنتجة والموزّعة حسب القطاع</t>
  </si>
  <si>
    <t xml:space="preserve">أخرى </t>
  </si>
  <si>
    <t>2015 - 2016</t>
  </si>
  <si>
    <t>المتحقق في 2016/10/1</t>
  </si>
  <si>
    <t>المجموع الكلي للمحطات</t>
  </si>
  <si>
    <t>جدول (1-24)</t>
  </si>
  <si>
    <t>جدول (1 ــ 22)</t>
  </si>
  <si>
    <t>..</t>
  </si>
  <si>
    <t>.. بيانات  غير متوفرة</t>
  </si>
  <si>
    <t>كمية المياه الموّزعة مجاناً (م³/ يوم)</t>
  </si>
  <si>
    <t>كمية المياه الخام المسحوبة من المشاريع والمجمعات المائية لمحطات التحلية (م³/ يوم)</t>
  </si>
  <si>
    <t>المنطقة المحصورة بين محطة الرصد (E10) في بابل وحتى منطقة الشنافية في القادسية (E14)</t>
  </si>
  <si>
    <t xml:space="preserve">المنطقة المحصورة بين محطة الرصد (E10) في بابل وحتى منطقة سوق الشيوخ في ذي قار  (E19)  </t>
  </si>
  <si>
    <t>قلة التخصيصات المالية</t>
  </si>
  <si>
    <t xml:space="preserve">الأشهر </t>
  </si>
  <si>
    <t>المعدل والكمية</t>
  </si>
  <si>
    <t>تقسيم مليار</t>
  </si>
  <si>
    <t xml:space="preserve">المصدر : 1.  وزارة الإعمار والإسكان والبلديات والأشغال العامة / مديريات الماء في المحافظات                                                                                                                               </t>
  </si>
  <si>
    <t xml:space="preserve">            2.  أمانة بغداد / دائرة ماء بغداد</t>
  </si>
  <si>
    <t>المصدر : وزارة الإعمار والإسكان والبلديات والأشغال العامة / المديرية العامة للماء / قسم السيطرة النوعية</t>
  </si>
  <si>
    <t>مجموع نهر دجلة وروافده عدا العظيم ***</t>
  </si>
  <si>
    <t>*** مجموع حوض دجلة وروافده عدا العظيم = مجموع (1) و (2) و (3) + نهر ديالى</t>
  </si>
  <si>
    <t>السماوة</t>
  </si>
  <si>
    <t>المجموع الكلي لكمية المياه المنتجة *</t>
  </si>
  <si>
    <t>معدل كمية المياه الموزّعة مجاناً</t>
  </si>
  <si>
    <t>معدل كمية المياه المجهزة (الماء المباع) الصالحة للشرب</t>
  </si>
  <si>
    <t xml:space="preserve">   معدل كميات المياه المجهزّة للسكان (الماء المباع) الصالحة للشرب (م³/ يوم)</t>
  </si>
  <si>
    <t>متوسط نصيب الفرد من المياه المجهزّة للسكان (الماء المباع) الصالحة للشرب (لتر/ يوم)</t>
  </si>
  <si>
    <t>متوسط نصيب الفرد من المياه المجهزة للسكان الكلي (الماء المباع + الموّزع مجاناً) (لتر/يوم)</t>
  </si>
  <si>
    <t>نسبة التجهيز  (%)</t>
  </si>
  <si>
    <t xml:space="preserve">   ..   بيانات غير متوفرة</t>
  </si>
  <si>
    <t xml:space="preserve"> المجموع السنوي </t>
  </si>
  <si>
    <t xml:space="preserve">المعدل العام         </t>
  </si>
  <si>
    <t xml:space="preserve">المنطقة المحصورة بين محطة رصد منطقة بعقوبة (DI5) وحتى منطقة جسر ديالى القديم (DI7) </t>
  </si>
  <si>
    <t>الأنبار</t>
  </si>
  <si>
    <t>الوارد السنوي (مليار م³/ سنة)</t>
  </si>
  <si>
    <t>الوارد السنوي العام  (مليار م³/سنة)</t>
  </si>
  <si>
    <t>النهر</t>
  </si>
  <si>
    <t xml:space="preserve">المعدل السنوي      </t>
  </si>
  <si>
    <t xml:space="preserve">( م³ / ثا) </t>
  </si>
  <si>
    <t xml:space="preserve">الوارد السنوي </t>
  </si>
  <si>
    <t xml:space="preserve">(مليار م³) </t>
  </si>
  <si>
    <t>ملم</t>
  </si>
  <si>
    <t xml:space="preserve">إجمالي حوضي دجلة والفرات  </t>
  </si>
  <si>
    <t xml:space="preserve">  الواردات المائية لنهري دجلة وروافده والفرات للسنة المائية (2015-2016) و (2016-2017)</t>
  </si>
  <si>
    <t>(2017-2016)</t>
  </si>
  <si>
    <t>نصيب الفرد من واردات نهر دجلة وروافده ونهر الفرات للسنوات المائية من (2005-2006) إلى (2016-2017)</t>
  </si>
  <si>
    <t>2016 - 2017</t>
  </si>
  <si>
    <r>
      <t xml:space="preserve">         المجموع الشهري لكمية الأمطار الساقطة خلال السنة المائية </t>
    </r>
    <r>
      <rPr>
        <b/>
        <sz val="10"/>
        <rFont val="Times New Roman"/>
        <family val="1"/>
      </rPr>
      <t xml:space="preserve">2016 </t>
    </r>
    <r>
      <rPr>
        <b/>
        <sz val="10"/>
        <rFont val="Arial"/>
        <family val="2"/>
      </rPr>
      <t xml:space="preserve">ــ </t>
    </r>
    <r>
      <rPr>
        <b/>
        <sz val="10"/>
        <rFont val="Times New Roman"/>
        <family val="1"/>
      </rPr>
      <t>2017</t>
    </r>
  </si>
  <si>
    <t>معدلات التبخر الشهرية في السدود والخزانات حسب الأشهر للسنة المائية (2016 ــ 2017)</t>
  </si>
  <si>
    <t xml:space="preserve">مناسيب الخزن المتحققة في السدود والبحيرات (الخزانات) والسعة المائية بتاريخ 2017/10/1 مقارنة مع نفس التاريخ لسنة 2016 </t>
  </si>
  <si>
    <t>المتحقق في 2017/10/1</t>
  </si>
  <si>
    <t>عدد ونسبة مشاريع المياه حسب الطاقات التصميمية والمتاحة والمنتجة والمياه الخام المسحوبة والمحافظة لسنة 2017</t>
  </si>
  <si>
    <t>عدد ونسبة المجمعات المائية حسب الطاقات التصميمية والمتاحة والمنتجة والمياه الخام المسحوبة والمحافظة لسنة 2017</t>
  </si>
  <si>
    <t>عدد ونسبة محطات تحلية المياه (RO) حسب الطاقات التصميمية والمتاحة والمنتجة والمياه الخام المسحوبة والمحافظة لسنة 2017</t>
  </si>
  <si>
    <t xml:space="preserve">   عدد ونسبة المحطات التي تعمل بالطاقة الشمسية حسب الطاقات التصميمية والمتاحة والمنتجة والمياه الخام المسحوبة والمحافظة لسنة 2017</t>
  </si>
  <si>
    <t xml:space="preserve">عدد محطات إنتاج المياه الصالحة للشرب حسب النوع والحالة العملية والمحافظة لسنة 2017 </t>
  </si>
  <si>
    <t xml:space="preserve">معدل كميات المياه الخام المسحوبة من المياه السطحية والجوفية لمحطات إنتاج المياه ونسبها المئوية حسب النوع والمحافظة لسنة 2017 </t>
  </si>
  <si>
    <t xml:space="preserve">معدل كميات المياه المنتجة من محطات إنتاج المياه ونسبها المئوية حسب النوع والمحافظة لسنة 2017 </t>
  </si>
  <si>
    <t>كمية المياه الخام الكلية والمنتجة ونسبة ومعدل كميات المياه المفقودة أثناء النقل بشبكة توزيع المياه وكمية المياه الموزّعة مجاناً والمباعة حسب المحافظة لسنة 2017</t>
  </si>
  <si>
    <t xml:space="preserve">عدد ونسبة السكان المخدومين بشبكات توزيع المياه الصالحة للشرب حسب البيئة والمحافظة لسنة 2017 </t>
  </si>
  <si>
    <t>عدد السكان المخدومين بشبكات توزيع المياه الصالحة للشرب ومعدل كميات المياه الصالحة للشرب المجهزة للسكان ومتوسط نصيب الفرد منها حسب البيئة والمحافظة لسنة 2017</t>
  </si>
  <si>
    <t>عدد السكان الكلي والحاجة التقديرية لكمية المياه الصالحة للشرب حسب البيئة والمحافظة لسنة 2017</t>
  </si>
  <si>
    <t>التوزيع النسبي لكمية المياه الصالحة للشرب المنتجة حسب القطاع والمحافظة لسنة 2017</t>
  </si>
  <si>
    <t xml:space="preserve">   الحدود الدنيا والعليا ومعدلات نتائج الفحوصات الكيمياوية والفيزياوية لماء النهر والشرب لمشاريع دائرة ماء بغداد لسنة 2017</t>
  </si>
  <si>
    <t>عدد ونسبة الآبار ومحطات أنتاج المياه المنصوبة على الآبار حسب الطاقات التصميمية والمتاحة والمنتجة والمياه الخام المسحوبة والمحافظة لسنة 2017</t>
  </si>
  <si>
    <t>الآبار</t>
  </si>
  <si>
    <t>محطات إنتاج  المياه المنصوبة على الآبار</t>
  </si>
  <si>
    <t xml:space="preserve">مجموع معدلات الطاقات المتاحة </t>
  </si>
  <si>
    <t xml:space="preserve">مجموع معدلات كميات المياه المنتجة </t>
  </si>
  <si>
    <t>مجموع معدلات كميات المياه الخام المسحوبة حسب المصدر  (م³/ يوم)</t>
  </si>
  <si>
    <t>مجموع معدلات كميات المياه الخام المسحوبة من الآبار والمستخدمة كمصدر للمياه الخام  (م³/ يوم)</t>
  </si>
  <si>
    <t>محطات إنتاج المياه المنصوبة على الآبار</t>
  </si>
  <si>
    <t>جدول (1 ــ 23)</t>
  </si>
  <si>
    <t>جدول (1-25)</t>
  </si>
  <si>
    <t>تابع / جدول (1-25)</t>
  </si>
  <si>
    <t xml:space="preserve"> جدول (1-26)</t>
  </si>
  <si>
    <t xml:space="preserve"> تابع / جدول (1-26)</t>
  </si>
  <si>
    <t>جدول (1-28)</t>
  </si>
  <si>
    <t>جدول (1-32)</t>
  </si>
  <si>
    <t>التفاصيل</t>
  </si>
  <si>
    <t>التراكيز</t>
  </si>
  <si>
    <t>المغذيات والكلوروفيل</t>
  </si>
  <si>
    <t>المستويات القصوى المسموح بها</t>
  </si>
  <si>
    <t xml:space="preserve">المواد العضوية في مسطحات المياه البحرية </t>
  </si>
  <si>
    <t xml:space="preserve">الطلب الحيوي للأوكسجين في مسطحات المياه البحرية </t>
  </si>
  <si>
    <t xml:space="preserve">الطلب الكيميائي للأوكسجين في مسطحات المياه البحرية </t>
  </si>
  <si>
    <t>الممرضات</t>
  </si>
  <si>
    <t xml:space="preserve">تركيز القولونيات البرازية في مسطحات المياه البحرية </t>
  </si>
  <si>
    <t>المعادن</t>
  </si>
  <si>
    <t>تركيز الزئبق في المياه البحرية</t>
  </si>
  <si>
    <t>تركيز الرصاص في المياه البحرية</t>
  </si>
  <si>
    <t>تركيز النيكل في المياه البحرية</t>
  </si>
  <si>
    <t>تركيز الزرنيخ في المياه البحرية</t>
  </si>
  <si>
    <t>تركيز الكادميوم في المياه البحرية</t>
  </si>
  <si>
    <t>تركيز الزئبق في الرواسب</t>
  </si>
  <si>
    <t>تركيز الرصاص في الرواسب</t>
  </si>
  <si>
    <t>تركيز النيكل في الرواسب</t>
  </si>
  <si>
    <t>تركيز الزرنيخ في الرواسب</t>
  </si>
  <si>
    <t>تركيز الكادميوم في الرواسب</t>
  </si>
  <si>
    <t xml:space="preserve">تركيز الزئبق في كائنات المياه البحرية الحية </t>
  </si>
  <si>
    <t>نوعية المياه البحرية لسنة 2017</t>
  </si>
  <si>
    <t xml:space="preserve">تركيز الرصاص في كائنات المياه البحرية الحية </t>
  </si>
  <si>
    <t xml:space="preserve">تركيز النيكل في كائنات المياه البحرية الحية </t>
  </si>
  <si>
    <t xml:space="preserve">تركيز الزرنيخ في كائنات المياه البحرية الحية </t>
  </si>
  <si>
    <t xml:space="preserve">تركيز الكادميوم في كائنات المياه البحرية الحية </t>
  </si>
  <si>
    <t>10⁴ - 10⁵  CFU</t>
  </si>
  <si>
    <t>35.0 - 80.0 mg/g</t>
  </si>
  <si>
    <t>1.85 mg/g</t>
  </si>
  <si>
    <t>16.97 - 55.91 mg/g</t>
  </si>
  <si>
    <t>&lt; 0.0005 mg/g</t>
  </si>
  <si>
    <t>5.43 mg/g</t>
  </si>
  <si>
    <t>0.5 - 40.0  mg/g</t>
  </si>
  <si>
    <t>0.20 - 0.38 mg/g</t>
  </si>
  <si>
    <t>0.083 - 0.11 mg/g</t>
  </si>
  <si>
    <t>الخصائص الفيزيائية والكيميائية</t>
  </si>
  <si>
    <t xml:space="preserve">الحامضية </t>
  </si>
  <si>
    <t>درجات الحرارة</t>
  </si>
  <si>
    <t>المواد الصلبة العالقة الكلية</t>
  </si>
  <si>
    <t>الملوحة</t>
  </si>
  <si>
    <t>الاوكسجين المذاب في مسطحات المياه العذبة</t>
  </si>
  <si>
    <t>0/5</t>
  </si>
  <si>
    <r>
      <rPr>
        <b/>
        <sz val="9"/>
        <rFont val="Arial"/>
        <family val="2"/>
      </rPr>
      <t>&lt;</t>
    </r>
    <r>
      <rPr>
        <b/>
        <sz val="9"/>
        <rFont val="Times New Roman"/>
        <family val="1"/>
      </rPr>
      <t xml:space="preserve"> 0.01</t>
    </r>
  </si>
  <si>
    <r>
      <rPr>
        <b/>
        <sz val="9"/>
        <rFont val="Arial"/>
        <family val="2"/>
      </rPr>
      <t>&lt;</t>
    </r>
    <r>
      <rPr>
        <b/>
        <sz val="9"/>
        <rFont val="Times New Roman"/>
        <family val="1"/>
      </rPr>
      <t xml:space="preserve"> 0.02</t>
    </r>
  </si>
  <si>
    <t>&lt;0.005</t>
  </si>
  <si>
    <t>&lt;0.5</t>
  </si>
  <si>
    <t>التوصيلية الكهربائية</t>
  </si>
  <si>
    <t>المواد الصلبة الذائبة</t>
  </si>
  <si>
    <t>الكثافة</t>
  </si>
  <si>
    <t>الملوثات العضوية</t>
  </si>
  <si>
    <t>تركيز مركبات ثنائية الفنيل متعدد الكلور في المياه البحرية</t>
  </si>
  <si>
    <t>تركيز المبيدات الزراعية في المياه البحرية</t>
  </si>
  <si>
    <t>تركيز الديوكسينات في المياه البحرية</t>
  </si>
  <si>
    <t>تركيز الفينولات في المياه البحرية</t>
  </si>
  <si>
    <t>تركيز النفايات المشعة في المياه البحرية</t>
  </si>
  <si>
    <t>تركيز مركبات ثنائية الفنيل متعدد الكلور في الرواسب</t>
  </si>
  <si>
    <t>تركيز المبيدات الزراعية في الرواسب</t>
  </si>
  <si>
    <t>تركيز الديوكسينات في الرواسب</t>
  </si>
  <si>
    <t>تركيز الفينولات في الرواسب</t>
  </si>
  <si>
    <t>تركيز النفايات المشعة في الرواسب</t>
  </si>
  <si>
    <t xml:space="preserve">تركيز مركبات ثنائية الفنيل متعدد الكلور في كائنات المياه البحرية الحية </t>
  </si>
  <si>
    <t xml:space="preserve">تركيز المبيدات الزراعية في كائنات المياه البحرية الحية </t>
  </si>
  <si>
    <t xml:space="preserve">تركيز الديوكسينات في كائنات المياه البحرية الحية </t>
  </si>
  <si>
    <t xml:space="preserve">تركيز الفينولات في كائنات المياه البحرية الحية </t>
  </si>
  <si>
    <t xml:space="preserve">تركيز النفايات المشعة في كائنات المياه البحرية الحية </t>
  </si>
  <si>
    <t>8.4 - 8.8</t>
  </si>
  <si>
    <r>
      <t xml:space="preserve">17.8 - 19.5 </t>
    </r>
    <r>
      <rPr>
        <b/>
        <sz val="10"/>
        <color indexed="8"/>
        <rFont val="Arial"/>
        <family val="2"/>
      </rPr>
      <t>°C</t>
    </r>
  </si>
  <si>
    <t>39.1 - 44.4 ppt</t>
  </si>
  <si>
    <r>
      <t>61.6 - 65.8 mS cm</t>
    </r>
    <r>
      <rPr>
        <b/>
        <sz val="10"/>
        <color indexed="8"/>
        <rFont val="Arial"/>
        <family val="2"/>
      </rPr>
      <t>̄ ¹</t>
    </r>
  </si>
  <si>
    <t>7.5 - 15.9 NTU</t>
  </si>
  <si>
    <t>إبيضاض الشعب المرجانية</t>
  </si>
  <si>
    <t>المساحة المتضررة بتبييض الشعب المرجانية</t>
  </si>
  <si>
    <t>المخلفات البلاستيكية والأنقاض الاخرى في المياه البحرية</t>
  </si>
  <si>
    <t>كمية المخلفات البلاستيكية والأنقاض الاخرى في المياه البحرية</t>
  </si>
  <si>
    <t>المد الأحمر</t>
  </si>
  <si>
    <t>الحدوث</t>
  </si>
  <si>
    <t>المناطق المتضررة</t>
  </si>
  <si>
    <t>الفترة</t>
  </si>
  <si>
    <t>التلوث النفطي</t>
  </si>
  <si>
    <t>مساحة البقع النفطية</t>
  </si>
  <si>
    <t>كمية كرات القطران</t>
  </si>
  <si>
    <t>نوعية المياه البحرية لسنة 2016</t>
  </si>
  <si>
    <t>تكملة الملوثات العضوية</t>
  </si>
  <si>
    <t>تركيز الكوبلت في المياه البحرية</t>
  </si>
  <si>
    <t>تركيز النحاس في المياه البحرية</t>
  </si>
  <si>
    <t>تركيز الحديد في المياه البحرية</t>
  </si>
  <si>
    <t>تركيز المنغنيز في المياه البحرية</t>
  </si>
  <si>
    <t>تركيز الفناديوم في المياه البحرية</t>
  </si>
  <si>
    <t>تركيز النحاس في الرواسب</t>
  </si>
  <si>
    <t>تركيز الحديد في الرواسب</t>
  </si>
  <si>
    <t>تركيز المنغنيز في الرواسب</t>
  </si>
  <si>
    <t>تركيز الكوبلت في الرواسب</t>
  </si>
  <si>
    <t>تركيز الفناديوم في الرواسب</t>
  </si>
  <si>
    <t>معدل درجة الحرارة عند ميناء البصرة النفطي</t>
  </si>
  <si>
    <t xml:space="preserve">21.4 درجة مئوية </t>
  </si>
  <si>
    <t>38.34 غم / لتر</t>
  </si>
  <si>
    <t>معدل الملوحة عند ميناء البصرة النفطي</t>
  </si>
  <si>
    <t>1.7 ملي غرام / لتر</t>
  </si>
  <si>
    <t>majan</t>
  </si>
  <si>
    <t>sum</t>
  </si>
  <si>
    <t>سوء الأوضاع الأمنية</t>
  </si>
  <si>
    <t>mujahz</t>
  </si>
  <si>
    <t>المصدر : وزارة النقل / دائرة التخطيط والمتابعة / قسم الإحصاء والقوى العاملة والتدريب</t>
  </si>
  <si>
    <t>الأنبار ، بابل ، صلاح الدين ، النجف ، ذي قار ، ميسان والبصرة</t>
  </si>
  <si>
    <t>كل المحافظات عدا نينوى ، ديالى ، الأنبار ، وأمانة بغداد</t>
  </si>
  <si>
    <t>نينوى ، بابل ، صلاح الدين ، القادسية ، المثنى ، ميسان والبصرة</t>
  </si>
  <si>
    <t>كل المحافظات عدا كركوك ، أمانة بغداد ، كربلاء وميسان</t>
  </si>
  <si>
    <t>كل المحافظات عدا ديالى ، أمانة بغداد ، أطراف بغداد وذي قار</t>
  </si>
  <si>
    <t>أطراف بغداد ، القادسية والبصرة</t>
  </si>
  <si>
    <t xml:space="preserve">كل المحافظات عدا ديالى ، الأنبار ، أطراف بغداد وكربلاء </t>
  </si>
  <si>
    <t>صلاح الدين والبصرة</t>
  </si>
  <si>
    <t xml:space="preserve">كل المحافظات عدا القادسية </t>
  </si>
  <si>
    <t xml:space="preserve">كل المحافظات  </t>
  </si>
  <si>
    <t xml:space="preserve">كل المحافظات عدا ديالى </t>
  </si>
  <si>
    <t>نينوى ، الأنبار ، صلاح الدين والبصرة</t>
  </si>
  <si>
    <t>بابل وميسان</t>
  </si>
  <si>
    <t>mutawasit</t>
  </si>
  <si>
    <t>نتائج الفحوصات لعينات مياه أهوار محافظة ذي قار لسنة 2017</t>
  </si>
  <si>
    <t>المعدل</t>
  </si>
  <si>
    <t>هور الجبايش</t>
  </si>
  <si>
    <t>هور ابو زرك</t>
  </si>
  <si>
    <t>هور السناف</t>
  </si>
  <si>
    <t>هور العدل</t>
  </si>
  <si>
    <t>الكلور</t>
  </si>
  <si>
    <t>CL</t>
  </si>
  <si>
    <t>TH</t>
  </si>
  <si>
    <t>نتائج الفحوصات لعينات مياه أهوار محافظة ميسان لسنة 2017</t>
  </si>
  <si>
    <t>أم النعاج 1</t>
  </si>
  <si>
    <t>أم النعاج 2</t>
  </si>
  <si>
    <t>العظيم 1</t>
  </si>
  <si>
    <t>العظيم 2</t>
  </si>
  <si>
    <t>نتائج الفحوصات لعينات مياه أهوار محافظة البصرة لسنة 2017</t>
  </si>
  <si>
    <t>بداية الحفار</t>
  </si>
  <si>
    <t>وسط الحفار</t>
  </si>
  <si>
    <t>منتصف الزركي</t>
  </si>
  <si>
    <t>وسط الطلاع</t>
  </si>
  <si>
    <t>مفرق الزركي والطلاع</t>
  </si>
  <si>
    <t xml:space="preserve">المصدر : وزارة الصحة والبيئة / القطاع البيئي - دائرة التخطيط والمتابعة الفنية                                                                                                                                 </t>
  </si>
  <si>
    <t>المنطقة المحصورة بين الدخول الى الاراضي العراقية وحتى جسر المثنى محطة (T17) عند مدخل محافظة بغداد</t>
  </si>
  <si>
    <t>المنطقة المحصورة بين الدخول للاراضي العراقية (T17) وحتى محطة رصد مأخذ مشروع ماء الوردية (T24) عند نهاية مدينة بغداد</t>
  </si>
  <si>
    <t>(-6.67)</t>
  </si>
  <si>
    <t>(-7.2)</t>
  </si>
  <si>
    <t>(-0.69)</t>
  </si>
  <si>
    <t>المنطقة المحصورة بين الدخول للاراضي العراقية (T17) وحتى محطة رصد مجمع ماء الكرامة (T28) عند نهاية محافظة واسط</t>
  </si>
  <si>
    <t>(-17.82)</t>
  </si>
  <si>
    <t>(-8.18)</t>
  </si>
  <si>
    <t>المنطقة المحصورة بين الدخول للاراضي العراقية (T17) وحتى محطة رصد  الكرمه (T34) قبل الالتقاء بالفرات</t>
  </si>
  <si>
    <t>(-72.73)</t>
  </si>
  <si>
    <t>(-3.92)</t>
  </si>
  <si>
    <t>(-70.75)</t>
  </si>
  <si>
    <t>كل المحافظات عدا ديالى ، أمانة بغداد ، واسط ، النجف ، القادسية ، المثنى وذي قار</t>
  </si>
  <si>
    <t>مجموع معدلات كميات المياه الخام المسحوبة حسب المصدر (م³/ يوم)</t>
  </si>
  <si>
    <t>معدل كميات المياه الخام المسحوبة حسب المصدر (م³/ يوم)</t>
  </si>
  <si>
    <t xml:space="preserve">كمية المياه المسحوبة من المشاريع والمجمعات المائية لمحطات تحلية المياه (RO) (م³/ يوم) </t>
  </si>
  <si>
    <t>* المجموع الكلي لكمية المياه المنتجة = مجموع الكميات المنتجة من (المشاريع + المجمعات المائية + محطات تحلية المياه (RO)+ المحطات العاملة بالطاقة الشمسية - كمية المياه الخام المسحوبة من المشاريع والمجمعات المائية لمحطات التحلية)</t>
  </si>
  <si>
    <t>المجموع الكلي لكمية المياه الصالحة للشرب المنتجة (م³/ يوم)</t>
  </si>
  <si>
    <t>الشهر</t>
  </si>
  <si>
    <t>اسم الهور</t>
  </si>
  <si>
    <t>اسم المحافظة</t>
  </si>
  <si>
    <t>هور الحمار</t>
  </si>
  <si>
    <t>المجموع الكلي للاهوار</t>
  </si>
  <si>
    <t>نسبة الاغمار لكل هور %</t>
  </si>
  <si>
    <t>آيلول</t>
  </si>
  <si>
    <r>
      <t>مجموع المساحات المغمورة وغير المغمورة (كم</t>
    </r>
    <r>
      <rPr>
        <b/>
        <sz val="10"/>
        <rFont val="Times New Roman"/>
        <family val="1"/>
      </rPr>
      <t>²</t>
    </r>
    <r>
      <rPr>
        <b/>
        <sz val="10"/>
        <rFont val="Arial"/>
        <family val="2"/>
      </rPr>
      <t>)</t>
    </r>
  </si>
  <si>
    <t>المغمورة حاليآ (كم²)</t>
  </si>
  <si>
    <t>غير المغمورة (كم²)</t>
  </si>
  <si>
    <t>المستبعدة من الاغمار (كم²)</t>
  </si>
  <si>
    <t>المساحة قبل التجفيف عام 1973 (كم²)</t>
  </si>
  <si>
    <t>المساحة بعد الانعاش</t>
  </si>
  <si>
    <t>الاهوار الوسطى وبضمنها نهر العز</t>
  </si>
  <si>
    <t>ملاحظة : لم تسجل أمطار خلال أشهر ( حزيران, تموز, آب وأيلول)</t>
  </si>
  <si>
    <t xml:space="preserve">           تم اعتماد المعدل العام بدلآ من الوسط الحسابي لوجود سنوات مفقودة في السلسلة الزمنية</t>
  </si>
  <si>
    <t>جدول (1-27)</t>
  </si>
  <si>
    <t>تابع/ جدول (1-27)</t>
  </si>
  <si>
    <t>المعدل الشهري للتصاريف الداخلة للأهوار لسنة 2017</t>
  </si>
  <si>
    <t>* المجموع الكلي لكمية المياه الخام المسحوبة = مجموع الكميات المسحوبة من (المياه السطحية والمياه الجوفية)</t>
  </si>
  <si>
    <t>معدل كميات المياه الخام المسحوبة لمحطات أنتاج    المياه   *</t>
  </si>
  <si>
    <t>معدل كميات المياه المنتجة من محطات أنتاج المياه  **</t>
  </si>
  <si>
    <t>* *  المجموع الكلي لكمية المياه المنتجة = مجموع الكميات المنتجة من (المشاريع + المجمعات المائية + محطات تحلية المياه (RO)+ المحطات العاملة بالطاقة الشمسية - كمية المياه الخام المسحوبة من المشاريع والمجمعات المائية لمحطات التحلية)</t>
  </si>
  <si>
    <t>النسب المئوية لأهم المشاكل التي يعاني منها قطاع المياه في المحافظات لسنة 2017</t>
  </si>
  <si>
    <t>* عدد السكان حسب تقديرات الجهاز المركزي للاحصاء : بناءاً على ما شهده العراق من حملات قتل وإبادة جماعية مارسها داعش وقوى إرهابية ضد العراقيين والدمار الذي لحق البلاد بسبب الأوضاع الأمنية غير المستقرة التي مر بها البلد ، تم إعداد إسقاطات سكانية جديدة بناءاً على فرضيات سكانية تتلائم مع واقع البلد من حيث تخفيض الخصوبة وتوقع العمر عند الولادة.</t>
  </si>
  <si>
    <t xml:space="preserve">المنطقة المحصورة بين الدخول الى الأراضي العراقية وحتى منطقة الكفل في بابل (E10) </t>
  </si>
  <si>
    <t>Plate count / 1 ml</t>
  </si>
  <si>
    <t>T.Coliform / 100 ml</t>
  </si>
  <si>
    <t>Plate count /  1 ml</t>
  </si>
  <si>
    <t>الحدود الدنيا والعليا ومعدل الفحوصات البكتريولوجية لماء نهر دجلة عند مآخذ مشاريع دائرة ماء بغداد لسنة 2017</t>
  </si>
  <si>
    <t xml:space="preserve">كمية المياه للأهوار لسنة 2016 </t>
  </si>
  <si>
    <t>كمية المياه للأهوار لسنة 2017</t>
  </si>
  <si>
    <t>جدول (1- 29 أ)</t>
  </si>
  <si>
    <t>جدول (1- 29 ج)</t>
  </si>
  <si>
    <t>جدول (1- 29 ب)</t>
  </si>
  <si>
    <t>جدول (1-30 ج)</t>
  </si>
  <si>
    <r>
      <t xml:space="preserve">جدول (1-30 </t>
    </r>
    <r>
      <rPr>
        <b/>
        <sz val="12"/>
        <rFont val="Times New Roman"/>
        <family val="1"/>
        <scheme val="major"/>
      </rPr>
      <t>أ</t>
    </r>
    <r>
      <rPr>
        <b/>
        <sz val="12"/>
        <rFont val="Arial"/>
        <family val="2"/>
      </rPr>
      <t>)</t>
    </r>
  </si>
  <si>
    <t>جدول (1-30 ب)</t>
  </si>
  <si>
    <t>جدول (1-31)</t>
  </si>
  <si>
    <t xml:space="preserve">تركيز النترات </t>
  </si>
  <si>
    <t xml:space="preserve">تركيز الفوسفات </t>
  </si>
  <si>
    <t xml:space="preserve">تركيز الكلوروفيل </t>
  </si>
  <si>
    <t xml:space="preserve">تركيز النتريت </t>
  </si>
  <si>
    <t xml:space="preserve">تركيز الفوسفور </t>
  </si>
  <si>
    <t xml:space="preserve">. . </t>
  </si>
  <si>
    <r>
      <t xml:space="preserve">5.83 </t>
    </r>
    <r>
      <rPr>
        <b/>
        <sz val="10"/>
        <rFont val="Calibri"/>
        <family val="2"/>
      </rPr>
      <t>μg­at N /l</t>
    </r>
  </si>
  <si>
    <r>
      <t xml:space="preserve">0.929 </t>
    </r>
    <r>
      <rPr>
        <b/>
        <sz val="10"/>
        <rFont val="Calibri"/>
        <family val="2"/>
      </rPr>
      <t>μg­at PO₄ /l</t>
    </r>
  </si>
  <si>
    <r>
      <t xml:space="preserve">0.453 </t>
    </r>
    <r>
      <rPr>
        <b/>
        <sz val="10"/>
        <rFont val="Calibri"/>
        <family val="2"/>
      </rPr>
      <t>μg /l</t>
    </r>
  </si>
  <si>
    <t>0.0040 - 0.0089 mg/l</t>
  </si>
  <si>
    <t>0.8461 - 0.9230 mg/l</t>
  </si>
  <si>
    <t>0.01 - 0.02 mg/l</t>
  </si>
  <si>
    <t>0.0680 - 0.1120 mg/l</t>
  </si>
  <si>
    <t xml:space="preserve">0.0450 - 0.0660 mg/l </t>
  </si>
  <si>
    <t xml:space="preserve"> . . </t>
  </si>
  <si>
    <t>78.60 - 64.60 mg/l</t>
  </si>
  <si>
    <t>7.9 - 8.1 mg/l</t>
  </si>
  <si>
    <t>36900 - 39500  mg/l</t>
  </si>
  <si>
    <t>الكمية ( م³/سنة)</t>
  </si>
  <si>
    <t>تركيز الكلوريدات (ملغم / لتر) والنسبة المئوية للزيادة</t>
  </si>
  <si>
    <t>تركيز العسرة الكلية (ملغم / لتر) والنسبة المئوية للزيادة</t>
  </si>
  <si>
    <t>تركيز الكبريتات (ملغم / لتر) والنسبة المئوية للزيادة</t>
  </si>
  <si>
    <t>تركيز المواد الصلبة الذائبة (ملغم / لتر) والنسبة المئوية للزيادة</t>
  </si>
  <si>
    <t>5.3 - 0.1 مايكروغرام / غم</t>
  </si>
  <si>
    <t>89.9 - 3.8 مايكروغرام / غم</t>
  </si>
  <si>
    <t>11.6 - 0.4  مايكروغرام / غم</t>
  </si>
  <si>
    <t>0.308 مايكروغرام / لتر</t>
  </si>
  <si>
    <t>0.144 مايكروغرام / لتر</t>
  </si>
  <si>
    <t>0.206 مايكروغرام / لتر</t>
  </si>
  <si>
    <t>2.688 مايكروغرام / لتر</t>
  </si>
  <si>
    <t>0.352 مايكروغرام / لتر</t>
  </si>
  <si>
    <t>0.059 مايكروغرام / لتر</t>
  </si>
  <si>
    <t>0.550 مايكروغرام / لتر</t>
  </si>
  <si>
    <t>26.520 مايكروغرام / غرام</t>
  </si>
  <si>
    <t>106.616 مايكروغرام / غرام</t>
  </si>
  <si>
    <t>2124.659 مايكروغرام / غرام</t>
  </si>
  <si>
    <t>14401.712 مايكروغرام / غرام</t>
  </si>
  <si>
    <t>389.780 مايكروغرام / غرام</t>
  </si>
  <si>
    <t>41.503 مايكروغرام / غرام</t>
  </si>
  <si>
    <t>28.234 مايكروغرام / غرام</t>
  </si>
  <si>
    <t>المواد الذائبة الكلية TDS</t>
  </si>
  <si>
    <t>6.0 - 12.0 mg/l</t>
  </si>
  <si>
    <t>75.0 - 200.0 mg/l</t>
  </si>
  <si>
    <t>تابع / جدول (1-32)</t>
  </si>
  <si>
    <t xml:space="preserve">..  بيانات غير متوفرة بسبب عدم وجود محطة مناخية </t>
  </si>
  <si>
    <t>جدول (1-1)</t>
  </si>
  <si>
    <t>مجموع الواردات (مليار م³ / سنة)</t>
  </si>
  <si>
    <t>تراكيز الكلوريدات والعسرة الكلية والكبريتات والمواد الصلبة الذائبة (لنهر الفرات) عن نقطة دخوله إلى الاراضي العراقية لسنة 2017</t>
  </si>
  <si>
    <t>تراكيز الكلوريدات والعسرة الكلية والكبريتات والمواد الصلبة الذائبة (لنهر دجلة) عن نقطة دخوله إلى الاراضي العراقية لسنة 2017</t>
  </si>
  <si>
    <t xml:space="preserve">    تراكيز الكلوريدات والعسرة الكلية والكبريتات والمواد الصلبة الذائبة (لنهر ديالى) عن نقطة دخوله إلى الأراضي العراقية لسنة 2017</t>
  </si>
  <si>
    <t xml:space="preserve"> الحدود الدنيا والعليا والمعدل لنتائج الفحوصات الكيمياوية والفيزياوية للماء الخام والشرب حسب المحافظة لسنة 2017 </t>
  </si>
  <si>
    <t>كمية المياه للأهوار لسنتي 2016 و 2017</t>
  </si>
  <si>
    <t>الواردات المائية لنهري دجلة وروافده والفرات للسنة المائية (2016-2017) حسب الشهر</t>
  </si>
  <si>
    <t>معدل التصاريف المجهّزة للأحواض لمختلف الأغراض خلال السنة المائية (2016-2017) مقارنة مع السنة المائية (2015-2016) حسب الشهر</t>
  </si>
  <si>
    <t xml:space="preserve">كمية الأمطار الساقطة لمواقع منتخبة في العراق ومقارنتها بالمعدل العام خلال السنة المائية (2016 ــ 2017) حسب الشهر </t>
  </si>
  <si>
    <t>NA</t>
  </si>
  <si>
    <t>NA : بيانات غير متوفرة بسبب عطل المحطة المناخية</t>
  </si>
  <si>
    <t>موقف الإغمار للأهوار حسب المحافظة والشهرلسنة 2017</t>
  </si>
  <si>
    <t>المصدر : وزارة الصحة والبيئة / دائرة التخطيط والمتابعة الفنية - القطاع البيئي</t>
  </si>
  <si>
    <t>74 - 25 ملي سمنز / سم</t>
  </si>
  <si>
    <t>نسب وكميات المياه المجهزّة للإستخدامات (الزراعية، المنزلية، الصناعية والبيئية) للسنة المائية (2016-2017)</t>
  </si>
  <si>
    <t>* السعة = مجموع الخزين الحي + الخزين الميت</t>
  </si>
</sst>
</file>

<file path=xl/styles.xml><?xml version="1.0" encoding="utf-8"?>
<styleSheet xmlns="http://schemas.openxmlformats.org/spreadsheetml/2006/main">
  <numFmts count="1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00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0.000%"/>
    <numFmt numFmtId="171" formatCode="#,##0.0"/>
    <numFmt numFmtId="172" formatCode="_-* #,##0_-;\-* #,##0_-;_-* &quot;-&quot;??_-;_-@_-"/>
    <numFmt numFmtId="173" formatCode="_-* #,##0.0_-;\-* #,##0.0_-;_-* &quot;-&quot;??_-;_-@_-"/>
    <numFmt numFmtId="174" formatCode="[$-2000401]0"/>
    <numFmt numFmtId="175" formatCode="_(* #,##0.0000_);_(* \(#,##0.0000\);_(* &quot;-&quot;??_);_(@_)"/>
    <numFmt numFmtId="176" formatCode="0.00_);\(0.00\)"/>
    <numFmt numFmtId="177" formatCode="0.0_);\(0.0\)"/>
    <numFmt numFmtId="178" formatCode="0.000_);\(0.000\)"/>
  </numFmts>
  <fonts count="54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0"/>
      <name val="Simplified Arabic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name val="Arial"/>
      <family val="2"/>
    </font>
    <font>
      <sz val="11"/>
      <color theme="1"/>
      <name val="Arial"/>
      <family val="2"/>
      <scheme val="minor"/>
    </font>
    <font>
      <b/>
      <sz val="9"/>
      <name val="Simplified Arabic"/>
      <family val="1"/>
    </font>
    <font>
      <sz val="10"/>
      <color rgb="FF04617B"/>
      <name val="Arial"/>
      <family val="2"/>
    </font>
    <font>
      <b/>
      <sz val="12"/>
      <name val="Times New Roman"/>
      <family val="1"/>
      <scheme val="maj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Simplified Arabic"/>
      <family val="1"/>
    </font>
    <font>
      <sz val="10"/>
      <color indexed="8"/>
      <name val="Arial"/>
      <family val="2"/>
    </font>
    <font>
      <b/>
      <sz val="8"/>
      <name val="Simplified Arabic"/>
      <family val="1"/>
    </font>
    <font>
      <b/>
      <sz val="12"/>
      <name val="Simplified Arabic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1"/>
      <name val="Arial"/>
      <family val="2"/>
    </font>
    <font>
      <b/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Times New Roman"/>
      <family val="1"/>
      <scheme val="major"/>
    </font>
    <font>
      <b/>
      <sz val="12"/>
      <color indexed="8"/>
      <name val="Arial"/>
      <family val="2"/>
    </font>
    <font>
      <b/>
      <sz val="11"/>
      <color indexed="8"/>
      <name val="Simplified Arabic"/>
      <family val="1"/>
    </font>
    <font>
      <b/>
      <sz val="10"/>
      <color indexed="8"/>
      <name val="Times New Roman"/>
      <family val="1"/>
      <scheme val="major"/>
    </font>
    <font>
      <b/>
      <vertAlign val="superscript"/>
      <sz val="10"/>
      <name val="Arial"/>
      <family val="2"/>
    </font>
    <font>
      <sz val="11"/>
      <color indexed="8"/>
      <name val="Times New Roman"/>
      <family val="1"/>
      <scheme val="major"/>
    </font>
    <font>
      <b/>
      <sz val="11"/>
      <color indexed="8"/>
      <name val="Times New Roman"/>
      <family val="1"/>
      <scheme val="major"/>
    </font>
    <font>
      <b/>
      <sz val="9"/>
      <color indexed="8"/>
      <name val="Arial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  <scheme val="minor"/>
    </font>
    <font>
      <b/>
      <sz val="11"/>
      <color indexed="8"/>
      <name val="Times New Roman"/>
      <family val="1"/>
    </font>
    <font>
      <b/>
      <strike/>
      <sz val="9"/>
      <name val="Arial"/>
      <family val="2"/>
    </font>
    <font>
      <sz val="11"/>
      <name val="Arial"/>
      <family val="2"/>
      <scheme val="minor"/>
    </font>
    <font>
      <b/>
      <sz val="10"/>
      <name val="Calibri"/>
      <family val="2"/>
    </font>
    <font>
      <b/>
      <sz val="9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3" fillId="0" borderId="0"/>
    <xf numFmtId="0" fontId="23" fillId="0" borderId="0"/>
  </cellStyleXfs>
  <cellXfs count="1134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11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1" fillId="0" borderId="0" xfId="0" applyFont="1" applyBorder="1" applyAlignment="1">
      <alignment vertical="center"/>
    </xf>
    <xf numFmtId="0" fontId="0" fillId="0" borderId="8" xfId="0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14" fillId="0" borderId="0" xfId="0" applyFont="1" applyFill="1" applyBorder="1" applyAlignment="1">
      <alignment horizontal="right" vertical="center" wrapText="1" readingOrder="2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readingOrder="2"/>
    </xf>
    <xf numFmtId="9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 readingOrder="2"/>
    </xf>
    <xf numFmtId="0" fontId="22" fillId="0" borderId="0" xfId="0" applyFont="1" applyFill="1" applyBorder="1" applyAlignment="1">
      <alignment horizontal="right" vertical="center" wrapText="1" readingOrder="2"/>
    </xf>
    <xf numFmtId="0" fontId="22" fillId="0" borderId="0" xfId="0" applyFont="1" applyFill="1" applyBorder="1" applyAlignment="1">
      <alignment vertical="center" wrapText="1" readingOrder="2"/>
    </xf>
    <xf numFmtId="0" fontId="22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2" fillId="7" borderId="8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4" fillId="7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0" fillId="0" borderId="16" xfId="0" applyBorder="1"/>
    <xf numFmtId="0" fontId="7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10" fontId="22" fillId="0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readingOrder="2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readingOrder="2"/>
    </xf>
    <xf numFmtId="0" fontId="3" fillId="0" borderId="11" xfId="0" applyFont="1" applyBorder="1" applyAlignment="1">
      <alignment horizontal="right" vertical="center" readingOrder="2"/>
    </xf>
    <xf numFmtId="0" fontId="7" fillId="0" borderId="10" xfId="0" applyFont="1" applyBorder="1" applyAlignment="1">
      <alignment vertical="center" wrapText="1"/>
    </xf>
    <xf numFmtId="43" fontId="11" fillId="0" borderId="2" xfId="1" applyFont="1" applyBorder="1" applyAlignment="1">
      <alignment horizontal="right" vertical="center"/>
    </xf>
    <xf numFmtId="43" fontId="11" fillId="0" borderId="11" xfId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2" fontId="11" fillId="0" borderId="13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7" fillId="3" borderId="10" xfId="0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2" fontId="19" fillId="0" borderId="3" xfId="0" applyNumberFormat="1" applyFont="1" applyBorder="1" applyAlignment="1">
      <alignment vertical="center" wrapText="1" readingOrder="1"/>
    </xf>
    <xf numFmtId="167" fontId="7" fillId="0" borderId="2" xfId="1" applyNumberFormat="1" applyFont="1" applyBorder="1" applyAlignment="1">
      <alignment vertical="center" wrapText="1"/>
    </xf>
    <xf numFmtId="0" fontId="20" fillId="0" borderId="12" xfId="4" applyFont="1" applyBorder="1" applyAlignment="1">
      <alignment vertical="center" wrapText="1"/>
    </xf>
    <xf numFmtId="0" fontId="20" fillId="0" borderId="2" xfId="4" applyFont="1" applyBorder="1" applyAlignment="1">
      <alignment vertical="center" wrapText="1"/>
    </xf>
    <xf numFmtId="167" fontId="7" fillId="7" borderId="10" xfId="1" applyNumberFormat="1" applyFont="1" applyFill="1" applyBorder="1" applyAlignment="1">
      <alignment horizontal="right" vertical="center" wrapText="1"/>
    </xf>
    <xf numFmtId="167" fontId="7" fillId="7" borderId="2" xfId="1" applyNumberFormat="1" applyFont="1" applyFill="1" applyBorder="1" applyAlignment="1">
      <alignment horizontal="right" vertical="center" wrapText="1"/>
    </xf>
    <xf numFmtId="167" fontId="7" fillId="7" borderId="11" xfId="1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11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/>
    </xf>
    <xf numFmtId="0" fontId="4" fillId="7" borderId="2" xfId="0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vertical="center" wrapText="1" readingOrder="2"/>
    </xf>
    <xf numFmtId="2" fontId="7" fillId="7" borderId="2" xfId="0" applyNumberFormat="1" applyFont="1" applyFill="1" applyBorder="1" applyAlignment="1">
      <alignment vertical="center" wrapText="1" readingOrder="2"/>
    </xf>
    <xf numFmtId="165" fontId="7" fillId="7" borderId="2" xfId="0" applyNumberFormat="1" applyFont="1" applyFill="1" applyBorder="1" applyAlignment="1">
      <alignment vertical="center" wrapText="1" readingOrder="2"/>
    </xf>
    <xf numFmtId="0" fontId="4" fillId="7" borderId="0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166" fontId="7" fillId="7" borderId="2" xfId="0" applyNumberFormat="1" applyFont="1" applyFill="1" applyBorder="1" applyAlignment="1">
      <alignment vertical="center" wrapText="1" readingOrder="2"/>
    </xf>
    <xf numFmtId="0" fontId="7" fillId="0" borderId="0" xfId="0" applyFont="1" applyFill="1" applyBorder="1" applyAlignment="1">
      <alignment vertical="center" wrapText="1"/>
    </xf>
    <xf numFmtId="167" fontId="7" fillId="0" borderId="3" xfId="1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167" fontId="11" fillId="0" borderId="2" xfId="1" applyNumberFormat="1" applyFont="1" applyBorder="1" applyAlignment="1">
      <alignment horizontal="right" vertical="center" readingOrder="2"/>
    </xf>
    <xf numFmtId="167" fontId="11" fillId="0" borderId="11" xfId="1" applyNumberFormat="1" applyFont="1" applyBorder="1" applyAlignment="1">
      <alignment horizontal="right" vertical="center" readingOrder="2"/>
    </xf>
    <xf numFmtId="0" fontId="8" fillId="0" borderId="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right" vertical="center" readingOrder="2"/>
    </xf>
    <xf numFmtId="0" fontId="4" fillId="3" borderId="9" xfId="0" applyFont="1" applyFill="1" applyBorder="1" applyAlignment="1">
      <alignment horizontal="right" vertical="center" wrapText="1"/>
    </xf>
    <xf numFmtId="43" fontId="7" fillId="3" borderId="9" xfId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right" vertic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readingOrder="2"/>
    </xf>
    <xf numFmtId="43" fontId="11" fillId="0" borderId="0" xfId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7" fillId="7" borderId="10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4" fillId="0" borderId="0" xfId="0" applyFont="1"/>
    <xf numFmtId="0" fontId="6" fillId="0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2" fontId="11" fillId="0" borderId="10" xfId="0" applyNumberFormat="1" applyFont="1" applyBorder="1" applyAlignment="1">
      <alignment vertical="center"/>
    </xf>
    <xf numFmtId="2" fontId="11" fillId="0" borderId="11" xfId="0" applyNumberFormat="1" applyFont="1" applyBorder="1" applyAlignment="1">
      <alignment vertical="center"/>
    </xf>
    <xf numFmtId="167" fontId="7" fillId="7" borderId="3" xfId="1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right" vertical="center" wrapText="1" readingOrder="1"/>
    </xf>
    <xf numFmtId="168" fontId="7" fillId="0" borderId="2" xfId="1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7" borderId="2" xfId="0" applyNumberFormat="1" applyFont="1" applyFill="1" applyBorder="1" applyAlignment="1">
      <alignment horizontal="right" vertical="center" wrapText="1" readingOrder="2"/>
    </xf>
    <xf numFmtId="3" fontId="7" fillId="7" borderId="2" xfId="0" applyNumberFormat="1" applyFont="1" applyFill="1" applyBorder="1" applyAlignment="1">
      <alignment vertical="center" wrapText="1" readingOrder="2"/>
    </xf>
    <xf numFmtId="3" fontId="7" fillId="7" borderId="0" xfId="0" applyNumberFormat="1" applyFont="1" applyFill="1" applyBorder="1" applyAlignment="1">
      <alignment vertical="center" wrapText="1" readingOrder="2"/>
    </xf>
    <xf numFmtId="3" fontId="7" fillId="7" borderId="1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171" fontId="7" fillId="7" borderId="2" xfId="0" applyNumberFormat="1" applyFont="1" applyFill="1" applyBorder="1" applyAlignment="1">
      <alignment vertical="center" wrapText="1" readingOrder="2"/>
    </xf>
    <xf numFmtId="4" fontId="7" fillId="7" borderId="2" xfId="0" applyNumberFormat="1" applyFont="1" applyFill="1" applyBorder="1" applyAlignment="1">
      <alignment vertical="center" wrapText="1" readingOrder="2"/>
    </xf>
    <xf numFmtId="4" fontId="7" fillId="7" borderId="11" xfId="0" applyNumberFormat="1" applyFont="1" applyFill="1" applyBorder="1" applyAlignment="1">
      <alignment vertical="center" wrapText="1" readingOrder="2"/>
    </xf>
    <xf numFmtId="0" fontId="7" fillId="7" borderId="2" xfId="0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/>
    </xf>
    <xf numFmtId="0" fontId="7" fillId="0" borderId="6" xfId="0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167" fontId="7" fillId="0" borderId="11" xfId="1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1" fontId="7" fillId="0" borderId="5" xfId="0" applyNumberFormat="1" applyFont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vertical="center" wrapText="1"/>
    </xf>
    <xf numFmtId="0" fontId="4" fillId="8" borderId="1" xfId="0" applyFont="1" applyFill="1" applyBorder="1" applyAlignment="1">
      <alignment horizontal="right" vertical="center" wrapText="1"/>
    </xf>
    <xf numFmtId="2" fontId="7" fillId="8" borderId="1" xfId="0" applyNumberFormat="1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horizontal="right" vertical="center" wrapText="1"/>
    </xf>
    <xf numFmtId="0" fontId="8" fillId="9" borderId="13" xfId="0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8" fillId="9" borderId="3" xfId="0" applyFont="1" applyFill="1" applyBorder="1" applyAlignment="1">
      <alignment horizontal="right" vertical="center" wrapText="1"/>
    </xf>
    <xf numFmtId="0" fontId="4" fillId="9" borderId="13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right" vertical="center" wrapText="1"/>
    </xf>
    <xf numFmtId="0" fontId="8" fillId="9" borderId="0" xfId="0" applyFont="1" applyFill="1" applyBorder="1" applyAlignment="1">
      <alignment horizontal="right" vertical="center" wrapText="1"/>
    </xf>
    <xf numFmtId="0" fontId="8" fillId="9" borderId="13" xfId="0" applyFont="1" applyFill="1" applyBorder="1" applyAlignment="1">
      <alignment vertical="center" wrapText="1" readingOrder="2"/>
    </xf>
    <xf numFmtId="0" fontId="6" fillId="8" borderId="7" xfId="0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9" borderId="13" xfId="0" applyFont="1" applyFill="1" applyBorder="1" applyAlignment="1">
      <alignment horizontal="right" vertical="center" wrapText="1"/>
    </xf>
    <xf numFmtId="3" fontId="6" fillId="9" borderId="0" xfId="0" applyNumberFormat="1" applyFont="1" applyFill="1" applyBorder="1" applyAlignment="1">
      <alignment vertical="center" wrapText="1" readingOrder="2"/>
    </xf>
    <xf numFmtId="0" fontId="7" fillId="9" borderId="2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readingOrder="2"/>
    </xf>
    <xf numFmtId="165" fontId="7" fillId="0" borderId="10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vertical="center" wrapText="1"/>
    </xf>
    <xf numFmtId="0" fontId="7" fillId="9" borderId="4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right" vertical="center"/>
    </xf>
    <xf numFmtId="167" fontId="7" fillId="8" borderId="4" xfId="0" applyNumberFormat="1" applyFont="1" applyFill="1" applyBorder="1" applyAlignment="1">
      <alignment horizontal="right" vertical="center" wrapText="1"/>
    </xf>
    <xf numFmtId="167" fontId="5" fillId="8" borderId="1" xfId="0" applyNumberFormat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171" fontId="7" fillId="0" borderId="10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171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vertical="center" wrapText="1"/>
    </xf>
    <xf numFmtId="171" fontId="7" fillId="0" borderId="12" xfId="0" applyNumberFormat="1" applyFont="1" applyFill="1" applyBorder="1" applyAlignment="1">
      <alignment vertical="center" wrapText="1"/>
    </xf>
    <xf numFmtId="171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171" fontId="7" fillId="0" borderId="1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8" fillId="9" borderId="1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7" fontId="7" fillId="0" borderId="10" xfId="1" applyNumberFormat="1" applyFont="1" applyFill="1" applyBorder="1" applyAlignment="1">
      <alignment horizontal="right" vertical="center"/>
    </xf>
    <xf numFmtId="167" fontId="7" fillId="0" borderId="2" xfId="1" applyNumberFormat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center"/>
    </xf>
    <xf numFmtId="167" fontId="7" fillId="0" borderId="3" xfId="1" applyNumberFormat="1" applyFont="1" applyBorder="1" applyAlignment="1">
      <alignment horizontal="right" vertical="center"/>
    </xf>
    <xf numFmtId="0" fontId="5" fillId="7" borderId="3" xfId="0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right" vertical="center" wrapText="1" readingOrder="1"/>
    </xf>
    <xf numFmtId="0" fontId="5" fillId="7" borderId="9" xfId="0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right" vertical="center" wrapText="1" readingOrder="1"/>
    </xf>
    <xf numFmtId="168" fontId="7" fillId="0" borderId="10" xfId="1" applyNumberFormat="1" applyFont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165" fontId="7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17" fillId="0" borderId="12" xfId="3" applyFont="1" applyBorder="1" applyAlignment="1">
      <alignment horizontal="right" vertical="center" wrapText="1"/>
    </xf>
    <xf numFmtId="165" fontId="20" fillId="0" borderId="12" xfId="4" applyNumberFormat="1" applyFont="1" applyBorder="1" applyAlignment="1">
      <alignment vertical="center" wrapText="1"/>
    </xf>
    <xf numFmtId="3" fontId="20" fillId="0" borderId="12" xfId="3" applyNumberFormat="1" applyFont="1" applyBorder="1" applyAlignment="1">
      <alignment vertical="center" wrapText="1"/>
    </xf>
    <xf numFmtId="3" fontId="20" fillId="3" borderId="12" xfId="3" applyNumberFormat="1" applyFont="1" applyFill="1" applyBorder="1" applyAlignment="1">
      <alignment vertical="center" wrapText="1"/>
    </xf>
    <xf numFmtId="3" fontId="20" fillId="0" borderId="12" xfId="4" applyNumberFormat="1" applyFont="1" applyBorder="1" applyAlignment="1">
      <alignment vertical="center" wrapText="1"/>
    </xf>
    <xf numFmtId="165" fontId="20" fillId="3" borderId="0" xfId="3" applyNumberFormat="1" applyFont="1" applyFill="1" applyBorder="1" applyAlignment="1">
      <alignment horizontal="center" vertical="center"/>
    </xf>
    <xf numFmtId="0" fontId="30" fillId="0" borderId="0" xfId="3" applyFont="1" applyBorder="1" applyAlignment="1"/>
    <xf numFmtId="0" fontId="30" fillId="0" borderId="0" xfId="3" applyFont="1" applyAlignment="1"/>
    <xf numFmtId="0" fontId="30" fillId="0" borderId="0" xfId="3" applyFont="1"/>
    <xf numFmtId="0" fontId="23" fillId="0" borderId="0" xfId="3"/>
    <xf numFmtId="0" fontId="17" fillId="3" borderId="2" xfId="3" applyFont="1" applyFill="1" applyBorder="1" applyAlignment="1">
      <alignment horizontal="right" vertical="center" wrapText="1"/>
    </xf>
    <xf numFmtId="165" fontId="20" fillId="0" borderId="2" xfId="4" applyNumberFormat="1" applyFont="1" applyBorder="1" applyAlignment="1">
      <alignment vertical="center" wrapText="1"/>
    </xf>
    <xf numFmtId="3" fontId="20" fillId="0" borderId="2" xfId="3" applyNumberFormat="1" applyFont="1" applyBorder="1" applyAlignment="1">
      <alignment vertical="center" wrapText="1"/>
    </xf>
    <xf numFmtId="3" fontId="20" fillId="3" borderId="2" xfId="3" applyNumberFormat="1" applyFont="1" applyFill="1" applyBorder="1" applyAlignment="1">
      <alignment vertical="center" wrapText="1"/>
    </xf>
    <xf numFmtId="3" fontId="20" fillId="0" borderId="2" xfId="4" applyNumberFormat="1" applyFont="1" applyBorder="1" applyAlignment="1">
      <alignment vertical="center" wrapText="1"/>
    </xf>
    <xf numFmtId="0" fontId="23" fillId="0" borderId="0" xfId="3" applyBorder="1"/>
    <xf numFmtId="165" fontId="23" fillId="0" borderId="0" xfId="3" applyNumberFormat="1" applyBorder="1" applyAlignment="1"/>
    <xf numFmtId="0" fontId="23" fillId="0" borderId="0" xfId="3" applyBorder="1" applyAlignment="1"/>
    <xf numFmtId="0" fontId="23" fillId="0" borderId="0" xfId="3" applyAlignment="1"/>
    <xf numFmtId="0" fontId="17" fillId="0" borderId="2" xfId="3" applyFont="1" applyBorder="1" applyAlignment="1">
      <alignment horizontal="right" vertical="center" wrapText="1"/>
    </xf>
    <xf numFmtId="0" fontId="20" fillId="0" borderId="3" xfId="4" applyFont="1" applyBorder="1" applyAlignment="1">
      <alignment vertical="center" wrapText="1"/>
    </xf>
    <xf numFmtId="3" fontId="20" fillId="0" borderId="3" xfId="4" applyNumberFormat="1" applyFont="1" applyFill="1" applyBorder="1" applyAlignment="1">
      <alignment vertical="center" wrapText="1"/>
    </xf>
    <xf numFmtId="0" fontId="23" fillId="0" borderId="2" xfId="3" applyBorder="1"/>
    <xf numFmtId="0" fontId="17" fillId="0" borderId="2" xfId="3" applyFont="1" applyFill="1" applyBorder="1" applyAlignment="1">
      <alignment horizontal="right" vertical="center" wrapText="1"/>
    </xf>
    <xf numFmtId="0" fontId="20" fillId="0" borderId="2" xfId="4" applyFont="1" applyFill="1" applyBorder="1" applyAlignment="1">
      <alignment vertical="center" wrapText="1"/>
    </xf>
    <xf numFmtId="3" fontId="20" fillId="0" borderId="2" xfId="4" applyNumberFormat="1" applyFont="1" applyFill="1" applyBorder="1" applyAlignment="1">
      <alignment vertical="center" wrapText="1"/>
    </xf>
    <xf numFmtId="0" fontId="17" fillId="0" borderId="3" xfId="3" applyFont="1" applyFill="1" applyBorder="1" applyAlignment="1">
      <alignment horizontal="right" vertical="center" wrapText="1"/>
    </xf>
    <xf numFmtId="3" fontId="20" fillId="0" borderId="3" xfId="3" applyNumberFormat="1" applyFont="1" applyBorder="1" applyAlignment="1">
      <alignment vertical="center" wrapText="1"/>
    </xf>
    <xf numFmtId="1" fontId="20" fillId="3" borderId="0" xfId="3" applyNumberFormat="1" applyFont="1" applyFill="1" applyBorder="1" applyAlignment="1">
      <alignment horizontal="center" vertical="center"/>
    </xf>
    <xf numFmtId="0" fontId="17" fillId="0" borderId="0" xfId="3" applyFont="1" applyBorder="1" applyAlignment="1">
      <alignment horizontal="right" vertical="center"/>
    </xf>
    <xf numFmtId="0" fontId="17" fillId="0" borderId="2" xfId="3" applyFont="1" applyBorder="1" applyAlignment="1">
      <alignment horizontal="right" vertical="center"/>
    </xf>
    <xf numFmtId="1" fontId="20" fillId="1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right" vertical="center"/>
    </xf>
    <xf numFmtId="1" fontId="20" fillId="0" borderId="0" xfId="4" applyNumberFormat="1" applyFont="1" applyFill="1" applyBorder="1" applyAlignment="1">
      <alignment horizontal="center" vertical="center" wrapText="1"/>
    </xf>
    <xf numFmtId="165" fontId="20" fillId="0" borderId="0" xfId="3" applyNumberFormat="1" applyFont="1" applyFill="1" applyBorder="1" applyAlignment="1">
      <alignment horizontal="center" vertical="center" wrapText="1"/>
    </xf>
    <xf numFmtId="1" fontId="20" fillId="0" borderId="0" xfId="3" applyNumberFormat="1" applyFont="1" applyFill="1" applyBorder="1" applyAlignment="1">
      <alignment horizontal="center" vertical="center"/>
    </xf>
    <xf numFmtId="0" fontId="0" fillId="0" borderId="17" xfId="0" applyBorder="1"/>
    <xf numFmtId="0" fontId="4" fillId="9" borderId="13" xfId="0" applyFont="1" applyFill="1" applyBorder="1" applyAlignment="1">
      <alignment horizontal="right" vertical="center" wrapText="1"/>
    </xf>
    <xf numFmtId="0" fontId="17" fillId="9" borderId="15" xfId="3" applyFont="1" applyFill="1" applyBorder="1" applyAlignment="1">
      <alignment horizontal="right" vertical="center"/>
    </xf>
    <xf numFmtId="1" fontId="20" fillId="9" borderId="15" xfId="4" applyNumberFormat="1" applyFont="1" applyFill="1" applyBorder="1" applyAlignment="1">
      <alignment vertical="center" wrapText="1"/>
    </xf>
    <xf numFmtId="3" fontId="20" fillId="9" borderId="15" xfId="3" applyNumberFormat="1" applyFont="1" applyFill="1" applyBorder="1" applyAlignment="1">
      <alignment vertical="center" wrapText="1"/>
    </xf>
    <xf numFmtId="3" fontId="20" fillId="9" borderId="15" xfId="4" applyNumberFormat="1" applyFont="1" applyFill="1" applyBorder="1" applyAlignment="1">
      <alignment vertical="center" wrapText="1"/>
    </xf>
    <xf numFmtId="165" fontId="20" fillId="9" borderId="15" xfId="4" applyNumberFormat="1" applyFont="1" applyFill="1" applyBorder="1" applyAlignment="1">
      <alignment vertical="center" wrapText="1"/>
    </xf>
    <xf numFmtId="3" fontId="20" fillId="0" borderId="3" xfId="4" applyNumberFormat="1" applyFont="1" applyBorder="1" applyAlignment="1">
      <alignment vertical="center" wrapText="1"/>
    </xf>
    <xf numFmtId="0" fontId="17" fillId="9" borderId="13" xfId="0" applyFont="1" applyFill="1" applyBorder="1" applyAlignment="1">
      <alignment horizontal="right" vertical="center" wrapText="1"/>
    </xf>
    <xf numFmtId="3" fontId="20" fillId="3" borderId="2" xfId="3" applyNumberFormat="1" applyFont="1" applyFill="1" applyBorder="1" applyAlignment="1">
      <alignment vertical="center"/>
    </xf>
    <xf numFmtId="1" fontId="24" fillId="0" borderId="0" xfId="4" applyNumberFormat="1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right" vertical="center" wrapText="1"/>
    </xf>
    <xf numFmtId="165" fontId="20" fillId="0" borderId="12" xfId="3" applyNumberFormat="1" applyFont="1" applyBorder="1" applyAlignment="1">
      <alignment vertical="center" wrapText="1"/>
    </xf>
    <xf numFmtId="165" fontId="23" fillId="0" borderId="0" xfId="3" applyNumberFormat="1" applyAlignment="1"/>
    <xf numFmtId="165" fontId="20" fillId="0" borderId="2" xfId="3" applyNumberFormat="1" applyFont="1" applyBorder="1" applyAlignment="1">
      <alignment vertical="center" wrapText="1"/>
    </xf>
    <xf numFmtId="165" fontId="20" fillId="9" borderId="15" xfId="3" applyNumberFormat="1" applyFont="1" applyFill="1" applyBorder="1" applyAlignment="1">
      <alignment vertical="center" wrapText="1"/>
    </xf>
    <xf numFmtId="171" fontId="20" fillId="9" borderId="15" xfId="3" applyNumberFormat="1" applyFont="1" applyFill="1" applyBorder="1" applyAlignment="1">
      <alignment vertical="center" wrapText="1"/>
    </xf>
    <xf numFmtId="165" fontId="42" fillId="3" borderId="0" xfId="3" applyNumberFormat="1" applyFont="1" applyFill="1" applyBorder="1" applyAlignment="1">
      <alignment horizontal="center" vertical="center"/>
    </xf>
    <xf numFmtId="0" fontId="44" fillId="0" borderId="0" xfId="3" applyFont="1"/>
    <xf numFmtId="165" fontId="44" fillId="0" borderId="0" xfId="3" applyNumberFormat="1" applyFont="1" applyAlignment="1"/>
    <xf numFmtId="0" fontId="45" fillId="0" borderId="0" xfId="3" applyFont="1" applyBorder="1" applyAlignment="1"/>
    <xf numFmtId="0" fontId="45" fillId="0" borderId="0" xfId="3" applyFont="1" applyAlignment="1"/>
    <xf numFmtId="0" fontId="45" fillId="0" borderId="0" xfId="3" applyFont="1"/>
    <xf numFmtId="0" fontId="42" fillId="0" borderId="2" xfId="3" applyFont="1" applyBorder="1" applyAlignment="1">
      <alignment horizontal="right" vertical="center" wrapText="1"/>
    </xf>
    <xf numFmtId="0" fontId="44" fillId="0" borderId="0" xfId="3" applyFont="1" applyBorder="1"/>
    <xf numFmtId="165" fontId="44" fillId="0" borderId="0" xfId="3" applyNumberFormat="1" applyFont="1" applyBorder="1" applyAlignment="1"/>
    <xf numFmtId="0" fontId="44" fillId="0" borderId="0" xfId="3" applyFont="1" applyBorder="1" applyAlignment="1"/>
    <xf numFmtId="0" fontId="44" fillId="0" borderId="0" xfId="3" applyFont="1" applyAlignment="1"/>
    <xf numFmtId="0" fontId="42" fillId="0" borderId="2" xfId="3" applyFont="1" applyFill="1" applyBorder="1" applyAlignment="1">
      <alignment horizontal="right" vertical="center" wrapText="1"/>
    </xf>
    <xf numFmtId="0" fontId="44" fillId="0" borderId="2" xfId="3" applyFont="1" applyBorder="1"/>
    <xf numFmtId="0" fontId="42" fillId="0" borderId="3" xfId="3" applyFont="1" applyFill="1" applyBorder="1" applyAlignment="1">
      <alignment horizontal="right" vertical="center" wrapText="1"/>
    </xf>
    <xf numFmtId="1" fontId="42" fillId="3" borderId="0" xfId="3" applyNumberFormat="1" applyFont="1" applyFill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40" fillId="0" borderId="8" xfId="3" applyFont="1" applyBorder="1" applyAlignment="1">
      <alignment vertical="center" readingOrder="2"/>
    </xf>
    <xf numFmtId="0" fontId="30" fillId="0" borderId="8" xfId="3" applyFont="1" applyBorder="1" applyAlignment="1">
      <alignment vertical="center" readingOrder="2"/>
    </xf>
    <xf numFmtId="0" fontId="17" fillId="0" borderId="2" xfId="3" applyFont="1" applyBorder="1" applyAlignment="1">
      <alignment vertical="center" wrapText="1" readingOrder="2"/>
    </xf>
    <xf numFmtId="3" fontId="20" fillId="0" borderId="2" xfId="4" applyNumberFormat="1" applyFont="1" applyBorder="1" applyAlignment="1">
      <alignment vertical="center" wrapText="1" readingOrder="2"/>
    </xf>
    <xf numFmtId="3" fontId="20" fillId="0" borderId="2" xfId="4" applyNumberFormat="1" applyFont="1" applyFill="1" applyBorder="1" applyAlignment="1">
      <alignment vertical="center" wrapText="1" readingOrder="2"/>
    </xf>
    <xf numFmtId="0" fontId="17" fillId="0" borderId="2" xfId="3" applyFont="1" applyFill="1" applyBorder="1" applyAlignment="1">
      <alignment vertical="center" wrapText="1" readingOrder="2"/>
    </xf>
    <xf numFmtId="3" fontId="20" fillId="9" borderId="15" xfId="4" applyNumberFormat="1" applyFont="1" applyFill="1" applyBorder="1" applyAlignment="1">
      <alignment vertical="center" wrapText="1" readingOrder="2"/>
    </xf>
    <xf numFmtId="0" fontId="8" fillId="8" borderId="13" xfId="0" applyFont="1" applyFill="1" applyBorder="1" applyAlignment="1">
      <alignment vertical="center" wrapText="1" readingOrder="2"/>
    </xf>
    <xf numFmtId="0" fontId="17" fillId="0" borderId="17" xfId="0" applyFont="1" applyBorder="1" applyAlignment="1">
      <alignment vertical="center" wrapText="1" readingOrder="2"/>
    </xf>
    <xf numFmtId="167" fontId="20" fillId="0" borderId="2" xfId="1" applyNumberFormat="1" applyFont="1" applyBorder="1" applyAlignment="1">
      <alignment vertical="center" wrapText="1"/>
    </xf>
    <xf numFmtId="167" fontId="20" fillId="0" borderId="3" xfId="1" applyNumberFormat="1" applyFont="1" applyBorder="1" applyAlignment="1">
      <alignment vertical="center" wrapText="1"/>
    </xf>
    <xf numFmtId="167" fontId="20" fillId="9" borderId="15" xfId="1" applyNumberFormat="1" applyFont="1" applyFill="1" applyBorder="1" applyAlignment="1">
      <alignment vertical="center" wrapText="1"/>
    </xf>
    <xf numFmtId="1" fontId="20" fillId="0" borderId="3" xfId="4" applyNumberFormat="1" applyFont="1" applyBorder="1" applyAlignment="1">
      <alignment vertical="center" wrapText="1"/>
    </xf>
    <xf numFmtId="1" fontId="20" fillId="0" borderId="3" xfId="3" applyNumberFormat="1" applyFont="1" applyBorder="1" applyAlignment="1">
      <alignment vertical="center" wrapText="1"/>
    </xf>
    <xf numFmtId="1" fontId="20" fillId="0" borderId="2" xfId="4" applyNumberFormat="1" applyFont="1" applyBorder="1" applyAlignment="1">
      <alignment vertical="center" wrapText="1"/>
    </xf>
    <xf numFmtId="1" fontId="20" fillId="0" borderId="2" xfId="4" applyNumberFormat="1" applyFont="1" applyFill="1" applyBorder="1" applyAlignment="1">
      <alignment vertical="center" wrapText="1"/>
    </xf>
    <xf numFmtId="0" fontId="40" fillId="3" borderId="0" xfId="3" applyFont="1" applyFill="1" applyAlignment="1">
      <alignment vertical="center"/>
    </xf>
    <xf numFmtId="0" fontId="30" fillId="3" borderId="0" xfId="3" applyFont="1" applyFill="1" applyAlignme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30" fillId="0" borderId="0" xfId="3" applyFont="1" applyBorder="1"/>
    <xf numFmtId="0" fontId="8" fillId="9" borderId="13" xfId="3" applyFont="1" applyFill="1" applyBorder="1" applyAlignment="1">
      <alignment horizontal="right" vertical="center" wrapText="1"/>
    </xf>
    <xf numFmtId="0" fontId="23" fillId="0" borderId="0" xfId="4"/>
    <xf numFmtId="0" fontId="23" fillId="0" borderId="0" xfId="4" applyBorder="1"/>
    <xf numFmtId="0" fontId="23" fillId="0" borderId="17" xfId="4" applyBorder="1"/>
    <xf numFmtId="0" fontId="8" fillId="9" borderId="13" xfId="4" applyFont="1" applyFill="1" applyBorder="1" applyAlignment="1">
      <alignment horizontal="right" vertical="center" wrapText="1"/>
    </xf>
    <xf numFmtId="0" fontId="8" fillId="9" borderId="13" xfId="4" applyFont="1" applyFill="1" applyBorder="1" applyAlignment="1">
      <alignment horizontal="right" vertical="center"/>
    </xf>
    <xf numFmtId="0" fontId="20" fillId="0" borderId="2" xfId="3" applyFont="1" applyBorder="1" applyAlignment="1">
      <alignment horizontal="right" vertical="center" wrapText="1"/>
    </xf>
    <xf numFmtId="0" fontId="20" fillId="3" borderId="2" xfId="3" applyFont="1" applyFill="1" applyBorder="1" applyAlignment="1">
      <alignment horizontal="right" vertical="center" wrapText="1"/>
    </xf>
    <xf numFmtId="0" fontId="23" fillId="4" borderId="0" xfId="3" applyFill="1"/>
    <xf numFmtId="0" fontId="47" fillId="4" borderId="0" xfId="3" applyFont="1" applyFill="1"/>
    <xf numFmtId="0" fontId="20" fillId="0" borderId="3" xfId="3" applyFont="1" applyBorder="1" applyAlignment="1">
      <alignment horizontal="right" vertical="center" wrapText="1"/>
    </xf>
    <xf numFmtId="0" fontId="23" fillId="0" borderId="2" xfId="3" applyFill="1" applyBorder="1"/>
    <xf numFmtId="0" fontId="23" fillId="0" borderId="0" xfId="3" applyFill="1"/>
    <xf numFmtId="0" fontId="20" fillId="0" borderId="2" xfId="3" applyFont="1" applyFill="1" applyBorder="1" applyAlignment="1">
      <alignment horizontal="right" vertical="center" wrapText="1"/>
    </xf>
    <xf numFmtId="0" fontId="20" fillId="0" borderId="3" xfId="3" applyFont="1" applyFill="1" applyBorder="1" applyAlignment="1">
      <alignment horizontal="right" vertical="center" wrapText="1"/>
    </xf>
    <xf numFmtId="0" fontId="25" fillId="0" borderId="17" xfId="3" applyFont="1" applyBorder="1"/>
    <xf numFmtId="0" fontId="20" fillId="9" borderId="15" xfId="3" applyFont="1" applyFill="1" applyBorder="1" applyAlignment="1">
      <alignment horizontal="right" vertical="center"/>
    </xf>
    <xf numFmtId="3" fontId="20" fillId="9" borderId="15" xfId="3" applyNumberFormat="1" applyFont="1" applyFill="1" applyBorder="1" applyAlignment="1">
      <alignment horizontal="right" vertical="center"/>
    </xf>
    <xf numFmtId="167" fontId="11" fillId="0" borderId="2" xfId="1" applyNumberFormat="1" applyFont="1" applyBorder="1" applyAlignment="1">
      <alignment horizontal="center" vertical="center" wrapText="1" readingOrder="1"/>
    </xf>
    <xf numFmtId="167" fontId="11" fillId="0" borderId="11" xfId="1" applyNumberFormat="1" applyFont="1" applyBorder="1" applyAlignment="1">
      <alignment horizontal="center" vertical="center" wrapText="1" readingOrder="1"/>
    </xf>
    <xf numFmtId="167" fontId="11" fillId="0" borderId="2" xfId="1" applyNumberFormat="1" applyFont="1" applyBorder="1" applyAlignment="1">
      <alignment vertical="center" wrapText="1" readingOrder="1"/>
    </xf>
    <xf numFmtId="0" fontId="11" fillId="0" borderId="13" xfId="0" applyFont="1" applyBorder="1" applyAlignment="1">
      <alignment horizontal="center" vertical="center" readingOrder="2"/>
    </xf>
    <xf numFmtId="0" fontId="11" fillId="0" borderId="11" xfId="0" applyFont="1" applyBorder="1" applyAlignment="1">
      <alignment horizontal="center" vertical="center" readingOrder="2"/>
    </xf>
    <xf numFmtId="165" fontId="7" fillId="0" borderId="10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3" fontId="7" fillId="0" borderId="10" xfId="1" applyNumberFormat="1" applyFont="1" applyBorder="1" applyAlignment="1">
      <alignment vertical="center" wrapText="1"/>
    </xf>
    <xf numFmtId="43" fontId="11" fillId="0" borderId="2" xfId="1" applyNumberFormat="1" applyFont="1" applyBorder="1" applyAlignment="1">
      <alignment horizontal="right" vertical="center" wrapText="1" readingOrder="1"/>
    </xf>
    <xf numFmtId="0" fontId="7" fillId="0" borderId="11" xfId="0" applyFont="1" applyBorder="1" applyAlignment="1">
      <alignment horizontal="right" vertical="center" wrapText="1"/>
    </xf>
    <xf numFmtId="0" fontId="8" fillId="8" borderId="7" xfId="0" applyFont="1" applyFill="1" applyBorder="1" applyAlignment="1">
      <alignment vertical="center" wrapText="1" readingOrder="2"/>
    </xf>
    <xf numFmtId="167" fontId="20" fillId="0" borderId="2" xfId="1" applyNumberFormat="1" applyFont="1" applyBorder="1" applyAlignment="1">
      <alignment vertical="center" wrapText="1" readingOrder="2"/>
    </xf>
    <xf numFmtId="167" fontId="20" fillId="0" borderId="2" xfId="1" applyNumberFormat="1" applyFont="1" applyFill="1" applyBorder="1" applyAlignment="1">
      <alignment vertical="center" wrapText="1" readingOrder="2"/>
    </xf>
    <xf numFmtId="167" fontId="20" fillId="9" borderId="15" xfId="1" applyNumberFormat="1" applyFont="1" applyFill="1" applyBorder="1" applyAlignment="1">
      <alignment vertical="center" wrapText="1" readingOrder="2"/>
    </xf>
    <xf numFmtId="0" fontId="4" fillId="8" borderId="7" xfId="0" applyFont="1" applyFill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 wrapText="1"/>
    </xf>
    <xf numFmtId="0" fontId="17" fillId="0" borderId="17" xfId="0" applyFont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21" fillId="0" borderId="0" xfId="3" applyFont="1" applyFill="1" applyBorder="1" applyAlignment="1">
      <alignment horizontal="center" vertical="center" wrapText="1"/>
    </xf>
    <xf numFmtId="0" fontId="41" fillId="0" borderId="0" xfId="3" applyFont="1" applyFill="1" applyBorder="1" applyAlignment="1">
      <alignment horizontal="center" vertical="center" wrapText="1"/>
    </xf>
    <xf numFmtId="3" fontId="20" fillId="3" borderId="3" xfId="3" applyNumberFormat="1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3" fontId="20" fillId="0" borderId="17" xfId="4" applyNumberFormat="1" applyFont="1" applyBorder="1" applyAlignment="1">
      <alignment horizontal="center" vertical="center" wrapText="1"/>
    </xf>
    <xf numFmtId="0" fontId="30" fillId="0" borderId="17" xfId="3" applyFont="1" applyBorder="1" applyAlignment="1">
      <alignment horizontal="center" vertical="center" readingOrder="2"/>
    </xf>
    <xf numFmtId="0" fontId="30" fillId="0" borderId="17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8" fillId="8" borderId="13" xfId="4" applyFont="1" applyFill="1" applyBorder="1" applyAlignment="1">
      <alignment horizontal="right" vertical="center"/>
    </xf>
    <xf numFmtId="0" fontId="4" fillId="8" borderId="9" xfId="4" applyFont="1" applyFill="1" applyBorder="1" applyAlignment="1">
      <alignment vertical="center" wrapText="1"/>
    </xf>
    <xf numFmtId="0" fontId="4" fillId="8" borderId="9" xfId="3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4" fillId="9" borderId="6" xfId="0" applyFont="1" applyFill="1" applyBorder="1" applyAlignment="1">
      <alignment horizontal="right" vertical="center" wrapText="1"/>
    </xf>
    <xf numFmtId="165" fontId="7" fillId="9" borderId="6" xfId="0" applyNumberFormat="1" applyFont="1" applyFill="1" applyBorder="1" applyAlignment="1">
      <alignment vertical="center" wrapText="1"/>
    </xf>
    <xf numFmtId="0" fontId="8" fillId="9" borderId="6" xfId="0" applyFont="1" applyFill="1" applyBorder="1" applyAlignment="1">
      <alignment horizontal="right" vertical="center" wrapText="1"/>
    </xf>
    <xf numFmtId="167" fontId="7" fillId="9" borderId="6" xfId="1" applyNumberFormat="1" applyFont="1" applyFill="1" applyBorder="1" applyAlignment="1">
      <alignment horizontal="right" vertical="center"/>
    </xf>
    <xf numFmtId="0" fontId="0" fillId="8" borderId="9" xfId="0" applyFill="1" applyBorder="1"/>
    <xf numFmtId="0" fontId="0" fillId="8" borderId="13" xfId="0" applyFill="1" applyBorder="1"/>
    <xf numFmtId="0" fontId="0" fillId="0" borderId="2" xfId="0" applyBorder="1"/>
    <xf numFmtId="0" fontId="49" fillId="0" borderId="17" xfId="3" applyFont="1" applyBorder="1" applyAlignment="1">
      <alignment horizontal="center" vertical="center" readingOrder="2"/>
    </xf>
    <xf numFmtId="0" fontId="4" fillId="9" borderId="7" xfId="0" applyFont="1" applyFill="1" applyBorder="1" applyAlignment="1">
      <alignment horizontal="right" vertical="center" wrapText="1" readingOrder="2"/>
    </xf>
    <xf numFmtId="0" fontId="50" fillId="9" borderId="13" xfId="0" applyFont="1" applyFill="1" applyBorder="1" applyAlignment="1">
      <alignment horizontal="right" vertical="center" wrapText="1" readingOrder="2"/>
    </xf>
    <xf numFmtId="0" fontId="11" fillId="0" borderId="5" xfId="0" applyFont="1" applyFill="1" applyBorder="1" applyAlignment="1">
      <alignment vertical="center"/>
    </xf>
    <xf numFmtId="0" fontId="49" fillId="0" borderId="17" xfId="4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 readingOrder="2"/>
    </xf>
    <xf numFmtId="171" fontId="20" fillId="0" borderId="2" xfId="3" applyNumberFormat="1" applyFont="1" applyBorder="1" applyAlignment="1">
      <alignment vertical="center" wrapText="1"/>
    </xf>
    <xf numFmtId="171" fontId="20" fillId="3" borderId="2" xfId="3" applyNumberFormat="1" applyFont="1" applyFill="1" applyBorder="1" applyAlignment="1">
      <alignment vertical="center" wrapText="1"/>
    </xf>
    <xf numFmtId="171" fontId="20" fillId="3" borderId="2" xfId="3" applyNumberFormat="1" applyFont="1" applyFill="1" applyBorder="1" applyAlignment="1">
      <alignment vertical="center"/>
    </xf>
    <xf numFmtId="3" fontId="20" fillId="0" borderId="2" xfId="3" applyNumberFormat="1" applyFont="1" applyFill="1" applyBorder="1" applyAlignment="1">
      <alignment vertical="center" wrapText="1"/>
    </xf>
    <xf numFmtId="3" fontId="20" fillId="0" borderId="2" xfId="3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horizontal="left" vertical="center" wrapText="1"/>
    </xf>
    <xf numFmtId="167" fontId="7" fillId="0" borderId="2" xfId="1" applyNumberFormat="1" applyFont="1" applyFill="1" applyBorder="1" applyAlignment="1">
      <alignment horizontal="left" vertical="center" wrapText="1"/>
    </xf>
    <xf numFmtId="2" fontId="7" fillId="0" borderId="10" xfId="0" applyNumberFormat="1" applyFont="1" applyFill="1" applyBorder="1" applyAlignment="1">
      <alignment horizontal="left" vertical="center" wrapText="1"/>
    </xf>
    <xf numFmtId="1" fontId="7" fillId="0" borderId="10" xfId="0" applyNumberFormat="1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left" vertical="center" wrapText="1"/>
    </xf>
    <xf numFmtId="4" fontId="7" fillId="0" borderId="10" xfId="0" applyNumberFormat="1" applyFont="1" applyFill="1" applyBorder="1" applyAlignment="1">
      <alignment horizontal="left" vertical="center" wrapText="1"/>
    </xf>
    <xf numFmtId="171" fontId="7" fillId="0" borderId="10" xfId="0" applyNumberFormat="1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171" fontId="7" fillId="0" borderId="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171" fontId="7" fillId="0" borderId="12" xfId="0" applyNumberFormat="1" applyFont="1" applyFill="1" applyBorder="1" applyAlignment="1">
      <alignment horizontal="left" vertical="center" wrapText="1"/>
    </xf>
    <xf numFmtId="171" fontId="7" fillId="0" borderId="3" xfId="0" applyNumberFormat="1" applyFont="1" applyFill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>
      <alignment horizontal="left" vertical="center" wrapText="1"/>
    </xf>
    <xf numFmtId="43" fontId="7" fillId="0" borderId="10" xfId="1" applyFont="1" applyFill="1" applyBorder="1" applyAlignment="1">
      <alignment horizontal="left" vertical="center" wrapText="1"/>
    </xf>
    <xf numFmtId="167" fontId="7" fillId="0" borderId="10" xfId="1" applyNumberFormat="1" applyFont="1" applyFill="1" applyBorder="1" applyAlignment="1">
      <alignment horizontal="left" vertical="center" wrapText="1"/>
    </xf>
    <xf numFmtId="168" fontId="7" fillId="0" borderId="10" xfId="1" applyNumberFormat="1" applyFont="1" applyFill="1" applyBorder="1" applyAlignment="1">
      <alignment horizontal="left" vertical="center" wrapText="1"/>
    </xf>
    <xf numFmtId="43" fontId="7" fillId="0" borderId="10" xfId="1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167" fontId="7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left" vertical="center" wrapText="1"/>
    </xf>
    <xf numFmtId="168" fontId="7" fillId="0" borderId="2" xfId="0" applyNumberFormat="1" applyFont="1" applyFill="1" applyBorder="1" applyAlignment="1">
      <alignment horizontal="left" vertical="center" wrapText="1"/>
    </xf>
    <xf numFmtId="168" fontId="7" fillId="0" borderId="2" xfId="1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167" fontId="7" fillId="0" borderId="11" xfId="1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65" fontId="7" fillId="0" borderId="3" xfId="0" applyNumberFormat="1" applyFont="1" applyFill="1" applyBorder="1" applyAlignment="1">
      <alignment horizontal="left" vertical="center" wrapText="1"/>
    </xf>
    <xf numFmtId="1" fontId="7" fillId="0" borderId="3" xfId="0" applyNumberFormat="1" applyFont="1" applyFill="1" applyBorder="1" applyAlignment="1">
      <alignment horizontal="left" vertical="center" wrapText="1"/>
    </xf>
    <xf numFmtId="0" fontId="17" fillId="0" borderId="17" xfId="0" applyFont="1" applyBorder="1" applyAlignment="1">
      <alignment vertical="center" wrapText="1" readingOrder="2"/>
    </xf>
    <xf numFmtId="171" fontId="20" fillId="0" borderId="3" xfId="3" applyNumberFormat="1" applyFont="1" applyBorder="1" applyAlignment="1">
      <alignment vertical="center" wrapText="1"/>
    </xf>
    <xf numFmtId="171" fontId="20" fillId="0" borderId="2" xfId="4" applyNumberFormat="1" applyFont="1" applyBorder="1" applyAlignment="1">
      <alignment vertical="center" wrapText="1"/>
    </xf>
    <xf numFmtId="1" fontId="23" fillId="0" borderId="0" xfId="3" applyNumberFormat="1" applyBorder="1"/>
    <xf numFmtId="0" fontId="17" fillId="0" borderId="17" xfId="0" applyFont="1" applyBorder="1" applyAlignment="1">
      <alignment horizontal="right" vertical="center" wrapText="1"/>
    </xf>
    <xf numFmtId="166" fontId="19" fillId="0" borderId="3" xfId="0" applyNumberFormat="1" applyFont="1" applyBorder="1" applyAlignment="1">
      <alignment vertical="center" wrapText="1" readingOrder="1"/>
    </xf>
    <xf numFmtId="171" fontId="20" fillId="9" borderId="15" xfId="4" applyNumberFormat="1" applyFont="1" applyFill="1" applyBorder="1" applyAlignment="1">
      <alignment vertical="center" wrapText="1"/>
    </xf>
    <xf numFmtId="173" fontId="20" fillId="0" borderId="3" xfId="1" applyNumberFormat="1" applyFont="1" applyBorder="1" applyAlignment="1">
      <alignment vertical="center" wrapText="1"/>
    </xf>
    <xf numFmtId="165" fontId="20" fillId="0" borderId="3" xfId="3" applyNumberFormat="1" applyFont="1" applyBorder="1" applyAlignment="1">
      <alignment vertical="center" wrapText="1"/>
    </xf>
    <xf numFmtId="173" fontId="20" fillId="0" borderId="2" xfId="1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171" fontId="20" fillId="0" borderId="2" xfId="4" applyNumberFormat="1" applyFont="1" applyBorder="1" applyAlignment="1">
      <alignment vertical="center" wrapText="1" readingOrder="2"/>
    </xf>
    <xf numFmtId="1" fontId="20" fillId="9" borderId="15" xfId="3" applyNumberFormat="1" applyFont="1" applyFill="1" applyBorder="1" applyAlignment="1">
      <alignment vertical="center"/>
    </xf>
    <xf numFmtId="3" fontId="20" fillId="0" borderId="10" xfId="4" applyNumberFormat="1" applyFont="1" applyBorder="1" applyAlignment="1">
      <alignment horizontal="right" vertical="center" wrapText="1"/>
    </xf>
    <xf numFmtId="3" fontId="20" fillId="0" borderId="2" xfId="4" applyNumberFormat="1" applyFont="1" applyBorder="1" applyAlignment="1">
      <alignment horizontal="right" vertical="center" wrapText="1"/>
    </xf>
    <xf numFmtId="3" fontId="20" fillId="0" borderId="2" xfId="4" applyNumberFormat="1" applyFont="1" applyFill="1" applyBorder="1" applyAlignment="1">
      <alignment horizontal="right" vertical="center" wrapText="1"/>
    </xf>
    <xf numFmtId="0" fontId="20" fillId="0" borderId="10" xfId="3" applyFont="1" applyBorder="1" applyAlignment="1">
      <alignment vertical="center" wrapText="1" readingOrder="2"/>
    </xf>
    <xf numFmtId="0" fontId="20" fillId="3" borderId="2" xfId="3" applyFont="1" applyFill="1" applyBorder="1" applyAlignment="1">
      <alignment vertical="center" wrapText="1" readingOrder="2"/>
    </xf>
    <xf numFmtId="0" fontId="20" fillId="0" borderId="2" xfId="3" applyFont="1" applyBorder="1" applyAlignment="1">
      <alignment vertical="center" wrapText="1" readingOrder="2"/>
    </xf>
    <xf numFmtId="0" fontId="20" fillId="0" borderId="2" xfId="3" applyFont="1" applyFill="1" applyBorder="1" applyAlignment="1">
      <alignment vertical="center" wrapText="1" readingOrder="2"/>
    </xf>
    <xf numFmtId="0" fontId="20" fillId="0" borderId="11" xfId="3" applyFont="1" applyFill="1" applyBorder="1" applyAlignment="1">
      <alignment vertical="center" wrapText="1" readingOrder="2"/>
    </xf>
    <xf numFmtId="0" fontId="20" fillId="0" borderId="3" xfId="3" applyFont="1" applyFill="1" applyBorder="1" applyAlignment="1">
      <alignment vertical="center" wrapText="1" readingOrder="2"/>
    </xf>
    <xf numFmtId="165" fontId="20" fillId="0" borderId="10" xfId="3" applyNumberFormat="1" applyFont="1" applyBorder="1" applyAlignment="1">
      <alignment vertical="center" wrapText="1" readingOrder="2"/>
    </xf>
    <xf numFmtId="165" fontId="20" fillId="0" borderId="2" xfId="3" applyNumberFormat="1" applyFont="1" applyBorder="1" applyAlignment="1">
      <alignment vertical="center" wrapText="1" readingOrder="2"/>
    </xf>
    <xf numFmtId="3" fontId="20" fillId="0" borderId="3" xfId="4" applyNumberFormat="1" applyFont="1" applyFill="1" applyBorder="1" applyAlignment="1">
      <alignment horizontal="right" vertical="center" wrapText="1"/>
    </xf>
    <xf numFmtId="3" fontId="20" fillId="0" borderId="11" xfId="4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20" fillId="3" borderId="2" xfId="4" applyNumberFormat="1" applyFont="1" applyFill="1" applyBorder="1" applyAlignment="1">
      <alignment vertical="center" wrapText="1"/>
    </xf>
    <xf numFmtId="171" fontId="20" fillId="0" borderId="3" xfId="4" applyNumberFormat="1" applyFont="1" applyBorder="1" applyAlignment="1">
      <alignment vertical="center" wrapText="1"/>
    </xf>
    <xf numFmtId="167" fontId="20" fillId="0" borderId="3" xfId="1" applyNumberFormat="1" applyFont="1" applyFill="1" applyBorder="1" applyAlignment="1">
      <alignment vertical="center" wrapText="1" readingOrder="2"/>
    </xf>
    <xf numFmtId="3" fontId="20" fillId="0" borderId="0" xfId="3" applyNumberFormat="1" applyFont="1" applyBorder="1" applyAlignment="1">
      <alignment vertical="center" wrapText="1"/>
    </xf>
    <xf numFmtId="3" fontId="20" fillId="0" borderId="3" xfId="4" applyNumberFormat="1" applyFont="1" applyFill="1" applyBorder="1" applyAlignment="1">
      <alignment vertical="center" wrapText="1" readingOrder="2"/>
    </xf>
    <xf numFmtId="3" fontId="20" fillId="0" borderId="12" xfId="3" applyNumberFormat="1" applyFont="1" applyBorder="1" applyAlignment="1">
      <alignment vertical="center"/>
    </xf>
    <xf numFmtId="0" fontId="4" fillId="8" borderId="1" xfId="3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readingOrder="2"/>
    </xf>
    <xf numFmtId="0" fontId="5" fillId="0" borderId="2" xfId="0" applyFont="1" applyFill="1" applyBorder="1" applyAlignment="1">
      <alignment horizontal="right" readingOrder="2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readingOrder="2"/>
    </xf>
    <xf numFmtId="0" fontId="5" fillId="0" borderId="11" xfId="0" applyFont="1" applyFill="1" applyBorder="1"/>
    <xf numFmtId="4" fontId="7" fillId="0" borderId="1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43" fontId="7" fillId="0" borderId="8" xfId="1" applyFont="1" applyBorder="1" applyAlignment="1">
      <alignment vertical="center" wrapText="1"/>
    </xf>
    <xf numFmtId="0" fontId="0" fillId="0" borderId="0" xfId="0" applyAlignment="1"/>
    <xf numFmtId="1" fontId="0" fillId="0" borderId="0" xfId="0" applyNumberFormat="1" applyAlignment="1"/>
    <xf numFmtId="2" fontId="0" fillId="0" borderId="0" xfId="0" applyNumberFormat="1" applyAlignment="1"/>
    <xf numFmtId="1" fontId="0" fillId="0" borderId="4" xfId="0" applyNumberFormat="1" applyBorder="1" applyAlignment="1"/>
    <xf numFmtId="1" fontId="7" fillId="0" borderId="12" xfId="0" applyNumberFormat="1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2" fontId="0" fillId="0" borderId="4" xfId="0" applyNumberFormat="1" applyBorder="1" applyAlignment="1"/>
    <xf numFmtId="0" fontId="0" fillId="0" borderId="4" xfId="0" applyBorder="1" applyAlignment="1"/>
    <xf numFmtId="172" fontId="1" fillId="0" borderId="0" xfId="0" applyNumberFormat="1" applyFont="1" applyAlignment="1">
      <alignment vertical="center"/>
    </xf>
    <xf numFmtId="43" fontId="7" fillId="0" borderId="5" xfId="1" applyNumberFormat="1" applyFont="1" applyBorder="1" applyAlignment="1">
      <alignment vertical="center" wrapText="1"/>
    </xf>
    <xf numFmtId="43" fontId="7" fillId="0" borderId="10" xfId="0" applyNumberFormat="1" applyFont="1" applyBorder="1" applyAlignment="1">
      <alignment vertical="center" wrapText="1"/>
    </xf>
    <xf numFmtId="43" fontId="7" fillId="0" borderId="2" xfId="1" applyNumberFormat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43" fontId="7" fillId="0" borderId="0" xfId="1" applyNumberFormat="1" applyFont="1" applyBorder="1" applyAlignment="1">
      <alignment vertical="center" wrapText="1"/>
    </xf>
    <xf numFmtId="43" fontId="7" fillId="0" borderId="5" xfId="0" applyNumberFormat="1" applyFont="1" applyBorder="1" applyAlignment="1">
      <alignment vertical="center" wrapText="1"/>
    </xf>
    <xf numFmtId="43" fontId="7" fillId="0" borderId="13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9" borderId="8" xfId="0" applyFont="1" applyFill="1" applyBorder="1" applyAlignment="1">
      <alignment horizontal="center" vertical="center" wrapText="1"/>
    </xf>
    <xf numFmtId="167" fontId="4" fillId="9" borderId="8" xfId="0" applyNumberFormat="1" applyFont="1" applyFill="1" applyBorder="1" applyAlignment="1">
      <alignment horizontal="center" vertical="center" wrapText="1"/>
    </xf>
    <xf numFmtId="43" fontId="7" fillId="0" borderId="13" xfId="0" applyNumberFormat="1" applyFont="1" applyBorder="1" applyAlignment="1">
      <alignment vertical="center" wrapText="1"/>
    </xf>
    <xf numFmtId="43" fontId="11" fillId="0" borderId="2" xfId="1" applyFont="1" applyBorder="1" applyAlignment="1">
      <alignment vertical="center" wrapText="1" readingOrder="1"/>
    </xf>
    <xf numFmtId="168" fontId="11" fillId="0" borderId="2" xfId="1" applyNumberFormat="1" applyFont="1" applyBorder="1" applyAlignment="1">
      <alignment vertical="center" wrapText="1" readingOrder="1"/>
    </xf>
    <xf numFmtId="168" fontId="11" fillId="0" borderId="10" xfId="1" applyNumberFormat="1" applyFont="1" applyBorder="1" applyAlignment="1">
      <alignment vertical="center" wrapText="1" readingOrder="1"/>
    </xf>
    <xf numFmtId="167" fontId="0" fillId="0" borderId="0" xfId="0" applyNumberFormat="1"/>
    <xf numFmtId="2" fontId="7" fillId="0" borderId="5" xfId="0" applyNumberFormat="1" applyFont="1" applyBorder="1" applyAlignment="1">
      <alignment vertical="center" wrapText="1"/>
    </xf>
    <xf numFmtId="2" fontId="7" fillId="0" borderId="13" xfId="0" applyNumberFormat="1" applyFont="1" applyBorder="1" applyAlignment="1">
      <alignment vertical="center" wrapText="1"/>
    </xf>
    <xf numFmtId="2" fontId="7" fillId="4" borderId="5" xfId="0" applyNumberFormat="1" applyFont="1" applyFill="1" applyBorder="1" applyAlignment="1">
      <alignment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43" fontId="7" fillId="0" borderId="7" xfId="1" applyNumberFormat="1" applyFont="1" applyBorder="1" applyAlignment="1">
      <alignment vertical="center" wrapText="1"/>
    </xf>
    <xf numFmtId="43" fontId="7" fillId="0" borderId="11" xfId="1" applyNumberFormat="1" applyFont="1" applyBorder="1" applyAlignment="1">
      <alignment vertical="center" wrapText="1"/>
    </xf>
    <xf numFmtId="2" fontId="7" fillId="0" borderId="2" xfId="1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7" fillId="4" borderId="5" xfId="0" applyNumberFormat="1" applyFont="1" applyFill="1" applyBorder="1" applyAlignment="1">
      <alignment vertical="center" wrapText="1"/>
    </xf>
    <xf numFmtId="165" fontId="0" fillId="0" borderId="4" xfId="0" applyNumberFormat="1" applyBorder="1" applyAlignment="1"/>
    <xf numFmtId="165" fontId="0" fillId="0" borderId="0" xfId="0" applyNumberFormat="1" applyAlignment="1">
      <alignment horizontal="center"/>
    </xf>
    <xf numFmtId="165" fontId="7" fillId="5" borderId="4" xfId="0" applyNumberFormat="1" applyFont="1" applyFill="1" applyBorder="1" applyAlignment="1">
      <alignment vertical="center" wrapText="1"/>
    </xf>
    <xf numFmtId="172" fontId="11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readingOrder="2"/>
    </xf>
    <xf numFmtId="0" fontId="12" fillId="0" borderId="8" xfId="0" applyFont="1" applyBorder="1" applyAlignment="1">
      <alignment horizontal="center" vertical="center" wrapText="1" readingOrder="2"/>
    </xf>
    <xf numFmtId="0" fontId="41" fillId="0" borderId="0" xfId="0" applyFont="1" applyAlignment="1">
      <alignment horizontal="center"/>
    </xf>
    <xf numFmtId="171" fontId="20" fillId="0" borderId="12" xfId="4" applyNumberFormat="1" applyFont="1" applyBorder="1" applyAlignment="1">
      <alignment vertical="center" wrapText="1"/>
    </xf>
    <xf numFmtId="171" fontId="20" fillId="0" borderId="2" xfId="4" applyNumberFormat="1" applyFont="1" applyFill="1" applyBorder="1" applyAlignment="1">
      <alignment vertical="center" wrapText="1"/>
    </xf>
    <xf numFmtId="171" fontId="20" fillId="0" borderId="3" xfId="4" applyNumberFormat="1" applyFont="1" applyFill="1" applyBorder="1" applyAlignment="1">
      <alignment vertical="center" wrapText="1"/>
    </xf>
    <xf numFmtId="165" fontId="20" fillId="3" borderId="12" xfId="3" applyNumberFormat="1" applyFont="1" applyFill="1" applyBorder="1" applyAlignment="1">
      <alignment horizontal="right" vertical="center"/>
    </xf>
    <xf numFmtId="165" fontId="20" fillId="3" borderId="10" xfId="3" applyNumberFormat="1" applyFont="1" applyFill="1" applyBorder="1" applyAlignment="1">
      <alignment horizontal="right" vertical="center"/>
    </xf>
    <xf numFmtId="165" fontId="20" fillId="3" borderId="2" xfId="3" applyNumberFormat="1" applyFont="1" applyFill="1" applyBorder="1" applyAlignment="1">
      <alignment horizontal="right" vertical="center"/>
    </xf>
    <xf numFmtId="1" fontId="20" fillId="0" borderId="2" xfId="3" applyNumberFormat="1" applyFont="1" applyBorder="1" applyAlignment="1">
      <alignment horizontal="right" vertical="center"/>
    </xf>
    <xf numFmtId="3" fontId="20" fillId="3" borderId="2" xfId="3" applyNumberFormat="1" applyFont="1" applyFill="1" applyBorder="1" applyAlignment="1">
      <alignment horizontal="right" vertical="center"/>
    </xf>
    <xf numFmtId="1" fontId="20" fillId="3" borderId="2" xfId="3" applyNumberFormat="1" applyFont="1" applyFill="1" applyBorder="1" applyAlignment="1">
      <alignment horizontal="right" vertical="center"/>
    </xf>
    <xf numFmtId="171" fontId="20" fillId="3" borderId="2" xfId="3" applyNumberFormat="1" applyFont="1" applyFill="1" applyBorder="1" applyAlignment="1">
      <alignment horizontal="right" vertical="center"/>
    </xf>
    <xf numFmtId="165" fontId="20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right" vertical="center" readingOrder="2"/>
    </xf>
    <xf numFmtId="165" fontId="23" fillId="0" borderId="9" xfId="3" applyNumberFormat="1" applyBorder="1" applyAlignment="1"/>
    <xf numFmtId="0" fontId="23" fillId="0" borderId="9" xfId="3" applyBorder="1"/>
    <xf numFmtId="165" fontId="7" fillId="0" borderId="11" xfId="0" applyNumberFormat="1" applyFont="1" applyBorder="1" applyAlignment="1">
      <alignment vertical="center" wrapText="1"/>
    </xf>
    <xf numFmtId="0" fontId="4" fillId="9" borderId="15" xfId="0" applyFont="1" applyFill="1" applyBorder="1" applyAlignment="1">
      <alignment horizontal="right" vertical="center" wrapText="1"/>
    </xf>
    <xf numFmtId="165" fontId="7" fillId="9" borderId="15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167" fontId="7" fillId="8" borderId="0" xfId="1" applyNumberFormat="1" applyFont="1" applyFill="1" applyBorder="1" applyAlignment="1">
      <alignment vertical="center" wrapText="1"/>
    </xf>
    <xf numFmtId="167" fontId="7" fillId="9" borderId="13" xfId="1" applyNumberFormat="1" applyFont="1" applyFill="1" applyBorder="1" applyAlignment="1">
      <alignment vertical="center" wrapText="1"/>
    </xf>
    <xf numFmtId="167" fontId="7" fillId="8" borderId="7" xfId="1" applyNumberFormat="1" applyFont="1" applyFill="1" applyBorder="1" applyAlignment="1">
      <alignment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7" fontId="23" fillId="0" borderId="0" xfId="1" applyNumberFormat="1" applyFont="1"/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" fillId="8" borderId="14" xfId="3" applyFont="1" applyFill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justify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wrapText="1"/>
    </xf>
    <xf numFmtId="0" fontId="7" fillId="0" borderId="12" xfId="0" applyFont="1" applyBorder="1" applyAlignment="1">
      <alignment horizontal="right" vertical="center" wrapText="1"/>
    </xf>
    <xf numFmtId="0" fontId="4" fillId="8" borderId="19" xfId="0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174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" fontId="20" fillId="3" borderId="2" xfId="3" applyNumberFormat="1" applyFont="1" applyFill="1" applyBorder="1" applyAlignment="1">
      <alignment horizontal="center" vertical="center"/>
    </xf>
    <xf numFmtId="3" fontId="20" fillId="3" borderId="12" xfId="3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center" wrapText="1"/>
    </xf>
    <xf numFmtId="3" fontId="20" fillId="3" borderId="20" xfId="3" applyNumberFormat="1" applyFont="1" applyFill="1" applyBorder="1" applyAlignment="1">
      <alignment horizontal="center" vertical="center"/>
    </xf>
    <xf numFmtId="3" fontId="20" fillId="3" borderId="13" xfId="3" applyNumberFormat="1" applyFont="1" applyFill="1" applyBorder="1" applyAlignment="1">
      <alignment horizontal="center" vertical="center"/>
    </xf>
    <xf numFmtId="3" fontId="20" fillId="3" borderId="10" xfId="3" applyNumberFormat="1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vertical="center" wrapText="1" readingOrder="1"/>
    </xf>
    <xf numFmtId="4" fontId="6" fillId="7" borderId="11" xfId="0" applyNumberFormat="1" applyFont="1" applyFill="1" applyBorder="1" applyAlignment="1">
      <alignment vertical="center" wrapText="1" readingOrder="1"/>
    </xf>
    <xf numFmtId="0" fontId="6" fillId="9" borderId="13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11" xfId="1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Alignment="1">
      <alignment horizontal="center" wrapText="1"/>
    </xf>
    <xf numFmtId="0" fontId="7" fillId="0" borderId="2" xfId="0" applyFont="1" applyFill="1" applyBorder="1" applyAlignment="1">
      <alignment vertical="center" wrapText="1" readingOrder="2"/>
    </xf>
    <xf numFmtId="0" fontId="7" fillId="0" borderId="11" xfId="0" applyFont="1" applyFill="1" applyBorder="1" applyAlignment="1">
      <alignment vertical="center" wrapText="1" readingOrder="2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8" fillId="0" borderId="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3" fontId="20" fillId="3" borderId="4" xfId="3" applyNumberFormat="1" applyFont="1" applyFill="1" applyBorder="1" applyAlignment="1">
      <alignment horizontal="center" vertical="center"/>
    </xf>
    <xf numFmtId="3" fontId="20" fillId="3" borderId="3" xfId="3" applyNumberFormat="1" applyFont="1" applyFill="1" applyBorder="1" applyAlignment="1">
      <alignment horizontal="center" vertical="center"/>
    </xf>
    <xf numFmtId="3" fontId="20" fillId="3" borderId="11" xfId="3" applyNumberFormat="1" applyFont="1" applyFill="1" applyBorder="1" applyAlignment="1">
      <alignment horizontal="center" vertical="center"/>
    </xf>
    <xf numFmtId="3" fontId="20" fillId="3" borderId="0" xfId="3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3" fontId="20" fillId="3" borderId="3" xfId="3" applyNumberFormat="1" applyFont="1" applyFill="1" applyBorder="1" applyAlignment="1">
      <alignment horizontal="left" vertical="center"/>
    </xf>
    <xf numFmtId="3" fontId="20" fillId="3" borderId="2" xfId="3" applyNumberFormat="1" applyFont="1" applyFill="1" applyBorder="1" applyAlignment="1">
      <alignment horizontal="right" vertical="center" readingOrder="2"/>
    </xf>
    <xf numFmtId="3" fontId="20" fillId="3" borderId="13" xfId="3" applyNumberFormat="1" applyFont="1" applyFill="1" applyBorder="1" applyAlignment="1">
      <alignment horizontal="right" vertical="center" readingOrder="2"/>
    </xf>
    <xf numFmtId="3" fontId="20" fillId="3" borderId="10" xfId="3" applyNumberFormat="1" applyFont="1" applyFill="1" applyBorder="1" applyAlignment="1">
      <alignment horizontal="right" vertical="center" readingOrder="2"/>
    </xf>
    <xf numFmtId="3" fontId="20" fillId="3" borderId="11" xfId="3" applyNumberFormat="1" applyFont="1" applyFill="1" applyBorder="1" applyAlignment="1">
      <alignment horizontal="right" vertical="center" readingOrder="2"/>
    </xf>
    <xf numFmtId="0" fontId="23" fillId="0" borderId="0" xfId="4" applyBorder="1" applyAlignment="1">
      <alignment horizontal="center"/>
    </xf>
    <xf numFmtId="0" fontId="23" fillId="0" borderId="0" xfId="4" applyAlignment="1">
      <alignment horizontal="center"/>
    </xf>
    <xf numFmtId="167" fontId="30" fillId="0" borderId="0" xfId="1" applyNumberFormat="1" applyFont="1" applyBorder="1" applyAlignment="1">
      <alignment horizontal="center"/>
    </xf>
    <xf numFmtId="167" fontId="23" fillId="0" borderId="0" xfId="3" applyNumberFormat="1" applyAlignment="1">
      <alignment horizontal="center"/>
    </xf>
    <xf numFmtId="1" fontId="23" fillId="0" borderId="0" xfId="3" applyNumberFormat="1" applyAlignment="1">
      <alignment horizontal="center"/>
    </xf>
    <xf numFmtId="0" fontId="23" fillId="0" borderId="0" xfId="3" applyAlignment="1">
      <alignment horizontal="center"/>
    </xf>
    <xf numFmtId="167" fontId="23" fillId="0" borderId="2" xfId="3" applyNumberFormat="1" applyBorder="1" applyAlignment="1">
      <alignment horizontal="center"/>
    </xf>
    <xf numFmtId="164" fontId="23" fillId="0" borderId="2" xfId="3" applyNumberFormat="1" applyBorder="1" applyAlignment="1">
      <alignment horizontal="center" vertical="center"/>
    </xf>
    <xf numFmtId="1" fontId="23" fillId="0" borderId="2" xfId="3" applyNumberFormat="1" applyBorder="1" applyAlignment="1">
      <alignment horizontal="center"/>
    </xf>
    <xf numFmtId="172" fontId="23" fillId="0" borderId="2" xfId="3" applyNumberFormat="1" applyBorder="1" applyAlignment="1">
      <alignment horizontal="center"/>
    </xf>
    <xf numFmtId="167" fontId="23" fillId="0" borderId="0" xfId="3" applyNumberFormat="1" applyBorder="1" applyAlignment="1">
      <alignment horizontal="center"/>
    </xf>
    <xf numFmtId="167" fontId="23" fillId="0" borderId="0" xfId="4" applyNumberFormat="1" applyBorder="1" applyAlignment="1">
      <alignment horizontal="center"/>
    </xf>
    <xf numFmtId="167" fontId="23" fillId="0" borderId="0" xfId="4" applyNumberFormat="1" applyAlignment="1">
      <alignment horizontal="center"/>
    </xf>
    <xf numFmtId="1" fontId="20" fillId="0" borderId="12" xfId="4" applyNumberFormat="1" applyFont="1" applyBorder="1" applyAlignment="1">
      <alignment vertical="center" wrapText="1"/>
    </xf>
    <xf numFmtId="0" fontId="0" fillId="0" borderId="2" xfId="0" applyFill="1" applyBorder="1"/>
    <xf numFmtId="0" fontId="20" fillId="0" borderId="3" xfId="4" applyFont="1" applyFill="1" applyBorder="1" applyAlignment="1">
      <alignment vertical="center" wrapText="1"/>
    </xf>
    <xf numFmtId="1" fontId="20" fillId="0" borderId="0" xfId="4" applyNumberFormat="1" applyFont="1" applyFill="1" applyBorder="1" applyAlignment="1">
      <alignment vertical="center" wrapText="1"/>
    </xf>
    <xf numFmtId="3" fontId="20" fillId="0" borderId="11" xfId="4" applyNumberFormat="1" applyFont="1" applyFill="1" applyBorder="1" applyAlignment="1">
      <alignment vertical="center" wrapText="1"/>
    </xf>
    <xf numFmtId="0" fontId="0" fillId="0" borderId="11" xfId="0" applyFill="1" applyBorder="1"/>
    <xf numFmtId="1" fontId="20" fillId="0" borderId="3" xfId="4" applyNumberFormat="1" applyFont="1" applyFill="1" applyBorder="1" applyAlignment="1">
      <alignment vertical="center" wrapText="1"/>
    </xf>
    <xf numFmtId="165" fontId="20" fillId="3" borderId="0" xfId="3" applyNumberFormat="1" applyFont="1" applyFill="1" applyBorder="1" applyAlignment="1">
      <alignment horizontal="right" vertical="center"/>
    </xf>
    <xf numFmtId="165" fontId="20" fillId="3" borderId="11" xfId="3" applyNumberFormat="1" applyFont="1" applyFill="1" applyBorder="1" applyAlignment="1">
      <alignment horizontal="right" vertical="center"/>
    </xf>
    <xf numFmtId="0" fontId="17" fillId="0" borderId="12" xfId="3" applyFont="1" applyFill="1" applyBorder="1" applyAlignment="1">
      <alignment horizontal="right" vertical="center" wrapText="1"/>
    </xf>
    <xf numFmtId="3" fontId="20" fillId="0" borderId="10" xfId="4" applyNumberFormat="1" applyFont="1" applyFill="1" applyBorder="1" applyAlignment="1">
      <alignment vertical="center" wrapText="1"/>
    </xf>
    <xf numFmtId="0" fontId="0" fillId="0" borderId="10" xfId="0" applyFill="1" applyBorder="1"/>
    <xf numFmtId="1" fontId="20" fillId="0" borderId="10" xfId="4" applyNumberFormat="1" applyFont="1" applyFill="1" applyBorder="1" applyAlignment="1">
      <alignment vertical="center" wrapText="1"/>
    </xf>
    <xf numFmtId="1" fontId="20" fillId="0" borderId="11" xfId="4" applyNumberFormat="1" applyFont="1" applyFill="1" applyBorder="1" applyAlignment="1">
      <alignment vertical="center" wrapText="1"/>
    </xf>
    <xf numFmtId="3" fontId="20" fillId="0" borderId="2" xfId="1" applyNumberFormat="1" applyFont="1" applyBorder="1" applyAlignment="1">
      <alignment vertical="center" wrapText="1" readingOrder="2"/>
    </xf>
    <xf numFmtId="3" fontId="0" fillId="0" borderId="0" xfId="0" applyNumberFormat="1"/>
    <xf numFmtId="0" fontId="21" fillId="0" borderId="0" xfId="3" applyFont="1" applyFill="1" applyBorder="1" applyAlignment="1">
      <alignment horizontal="center" vertical="center" wrapText="1"/>
    </xf>
    <xf numFmtId="3" fontId="20" fillId="0" borderId="12" xfId="4" applyNumberFormat="1" applyFont="1" applyFill="1" applyBorder="1" applyAlignment="1">
      <alignment vertical="center" wrapText="1"/>
    </xf>
    <xf numFmtId="171" fontId="20" fillId="0" borderId="12" xfId="4" applyNumberFormat="1" applyFont="1" applyFill="1" applyBorder="1" applyAlignment="1">
      <alignment vertical="center" wrapText="1"/>
    </xf>
    <xf numFmtId="3" fontId="20" fillId="0" borderId="12" xfId="3" applyNumberFormat="1" applyFont="1" applyFill="1" applyBorder="1" applyAlignment="1">
      <alignment horizontal="right" vertical="center"/>
    </xf>
    <xf numFmtId="0" fontId="23" fillId="0" borderId="0" xfId="3" applyFill="1" applyBorder="1"/>
    <xf numFmtId="3" fontId="20" fillId="0" borderId="12" xfId="3" applyNumberFormat="1" applyFont="1" applyFill="1" applyBorder="1" applyAlignment="1">
      <alignment vertical="center"/>
    </xf>
    <xf numFmtId="0" fontId="23" fillId="0" borderId="0" xfId="3" applyFill="1" applyBorder="1" applyAlignment="1"/>
    <xf numFmtId="165" fontId="20" fillId="0" borderId="2" xfId="3" applyNumberFormat="1" applyFont="1" applyFill="1" applyBorder="1" applyAlignment="1">
      <alignment vertical="center" wrapText="1"/>
    </xf>
    <xf numFmtId="1" fontId="23" fillId="0" borderId="0" xfId="4" applyNumberFormat="1"/>
    <xf numFmtId="0" fontId="23" fillId="0" borderId="0" xfId="3" applyNumberFormat="1" applyAlignment="1">
      <alignment horizontal="center"/>
    </xf>
    <xf numFmtId="167" fontId="23" fillId="0" borderId="0" xfId="4" applyNumberFormat="1"/>
    <xf numFmtId="165" fontId="20" fillId="0" borderId="11" xfId="3" applyNumberFormat="1" applyFont="1" applyBorder="1" applyAlignment="1">
      <alignment vertical="center" wrapText="1" readingOrder="2"/>
    </xf>
    <xf numFmtId="3" fontId="23" fillId="0" borderId="0" xfId="4" applyNumberFormat="1" applyBorder="1"/>
    <xf numFmtId="3" fontId="23" fillId="0" borderId="0" xfId="4" applyNumberFormat="1"/>
    <xf numFmtId="1" fontId="23" fillId="0" borderId="0" xfId="4" applyNumberFormat="1" applyAlignment="1">
      <alignment horizontal="center"/>
    </xf>
    <xf numFmtId="0" fontId="4" fillId="0" borderId="10" xfId="0" applyFont="1" applyBorder="1" applyAlignment="1">
      <alignment horizontal="right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right" vertical="center" wrapText="1"/>
    </xf>
    <xf numFmtId="43" fontId="7" fillId="3" borderId="10" xfId="1" applyFont="1" applyFill="1" applyBorder="1" applyAlignment="1">
      <alignment vertical="center" wrapText="1"/>
    </xf>
    <xf numFmtId="169" fontId="7" fillId="0" borderId="10" xfId="1" applyNumberFormat="1" applyFont="1" applyBorder="1" applyAlignment="1">
      <alignment vertical="center" wrapText="1"/>
    </xf>
    <xf numFmtId="167" fontId="7" fillId="3" borderId="2" xfId="1" applyNumberFormat="1" applyFont="1" applyFill="1" applyBorder="1" applyAlignment="1">
      <alignment vertical="center" wrapText="1"/>
    </xf>
    <xf numFmtId="43" fontId="7" fillId="3" borderId="2" xfId="1" applyFont="1" applyFill="1" applyBorder="1" applyAlignment="1">
      <alignment vertical="center" wrapText="1"/>
    </xf>
    <xf numFmtId="175" fontId="7" fillId="0" borderId="2" xfId="1" applyNumberFormat="1" applyFont="1" applyBorder="1" applyAlignment="1">
      <alignment vertical="center" wrapText="1"/>
    </xf>
    <xf numFmtId="43" fontId="11" fillId="0" borderId="0" xfId="1" applyFont="1" applyBorder="1" applyAlignment="1">
      <alignment vertical="center" wrapText="1" readingOrder="1"/>
    </xf>
    <xf numFmtId="175" fontId="11" fillId="0" borderId="2" xfId="1" applyNumberFormat="1" applyFont="1" applyBorder="1" applyAlignment="1">
      <alignment vertical="center" wrapText="1" readingOrder="1"/>
    </xf>
    <xf numFmtId="43" fontId="11" fillId="0" borderId="2" xfId="1" applyNumberFormat="1" applyFont="1" applyBorder="1" applyAlignment="1">
      <alignment vertical="center" wrapText="1" readingOrder="1"/>
    </xf>
    <xf numFmtId="169" fontId="7" fillId="0" borderId="2" xfId="1" applyNumberFormat="1" applyFont="1" applyBorder="1" applyAlignment="1">
      <alignment vertical="center" wrapText="1"/>
    </xf>
    <xf numFmtId="43" fontId="7" fillId="3" borderId="2" xfId="1" applyNumberFormat="1" applyFont="1" applyFill="1" applyBorder="1" applyAlignment="1">
      <alignment vertical="center" wrapText="1"/>
    </xf>
    <xf numFmtId="168" fontId="7" fillId="3" borderId="11" xfId="1" applyNumberFormat="1" applyFont="1" applyFill="1" applyBorder="1" applyAlignment="1">
      <alignment vertical="center" wrapText="1"/>
    </xf>
    <xf numFmtId="168" fontId="7" fillId="0" borderId="11" xfId="1" applyNumberFormat="1" applyFont="1" applyBorder="1" applyAlignment="1">
      <alignment vertical="center" wrapText="1"/>
    </xf>
    <xf numFmtId="0" fontId="4" fillId="8" borderId="3" xfId="0" applyFont="1" applyFill="1" applyBorder="1" applyAlignment="1">
      <alignment horizontal="right" vertical="center" wrapText="1"/>
    </xf>
    <xf numFmtId="168" fontId="7" fillId="3" borderId="10" xfId="1" applyNumberFormat="1" applyFont="1" applyFill="1" applyBorder="1" applyAlignment="1">
      <alignment vertical="center" wrapText="1"/>
    </xf>
    <xf numFmtId="167" fontId="7" fillId="3" borderId="11" xfId="1" applyNumberFormat="1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4" fillId="8" borderId="2" xfId="0" applyFont="1" applyFill="1" applyBorder="1" applyAlignment="1">
      <alignment horizontal="right" vertical="center" wrapText="1"/>
    </xf>
    <xf numFmtId="43" fontId="11" fillId="0" borderId="10" xfId="1" applyNumberFormat="1" applyFont="1" applyBorder="1" applyAlignment="1">
      <alignment horizontal="right" vertical="center" wrapText="1" readingOrder="1"/>
    </xf>
    <xf numFmtId="43" fontId="7" fillId="3" borderId="10" xfId="1" applyNumberFormat="1" applyFont="1" applyFill="1" applyBorder="1" applyAlignment="1">
      <alignment horizontal="right" vertical="center" wrapText="1"/>
    </xf>
    <xf numFmtId="43" fontId="7" fillId="0" borderId="10" xfId="1" applyNumberFormat="1" applyFont="1" applyBorder="1" applyAlignment="1">
      <alignment horizontal="right" vertical="center" wrapText="1"/>
    </xf>
    <xf numFmtId="168" fontId="7" fillId="0" borderId="10" xfId="1" applyNumberFormat="1" applyFont="1" applyBorder="1" applyAlignment="1">
      <alignment horizontal="right" vertical="center" wrapText="1"/>
    </xf>
    <xf numFmtId="169" fontId="7" fillId="3" borderId="2" xfId="1" applyNumberFormat="1" applyFont="1" applyFill="1" applyBorder="1" applyAlignment="1">
      <alignment horizontal="right" vertical="center" wrapText="1"/>
    </xf>
    <xf numFmtId="43" fontId="7" fillId="0" borderId="2" xfId="1" applyNumberFormat="1" applyFont="1" applyBorder="1" applyAlignment="1">
      <alignment horizontal="right" vertical="center" wrapText="1"/>
    </xf>
    <xf numFmtId="167" fontId="11" fillId="0" borderId="12" xfId="1" applyNumberFormat="1" applyFont="1" applyBorder="1" applyAlignment="1">
      <alignment vertical="center" wrapText="1" readingOrder="1"/>
    </xf>
    <xf numFmtId="167" fontId="7" fillId="3" borderId="12" xfId="1" applyNumberFormat="1" applyFont="1" applyFill="1" applyBorder="1" applyAlignment="1">
      <alignment vertical="center" wrapText="1"/>
    </xf>
    <xf numFmtId="167" fontId="7" fillId="0" borderId="12" xfId="1" applyNumberFormat="1" applyFont="1" applyBorder="1" applyAlignment="1">
      <alignment vertical="center" wrapText="1"/>
    </xf>
    <xf numFmtId="168" fontId="7" fillId="3" borderId="2" xfId="1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7" fontId="11" fillId="0" borderId="3" xfId="1" applyNumberFormat="1" applyFont="1" applyBorder="1" applyAlignment="1">
      <alignment vertical="center" wrapText="1" readingOrder="1"/>
    </xf>
    <xf numFmtId="167" fontId="7" fillId="3" borderId="3" xfId="1" applyNumberFormat="1" applyFont="1" applyFill="1" applyBorder="1" applyAlignment="1">
      <alignment vertical="center" wrapText="1"/>
    </xf>
    <xf numFmtId="167" fontId="11" fillId="0" borderId="3" xfId="1" applyNumberFormat="1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right" vertical="center" wrapText="1"/>
    </xf>
    <xf numFmtId="43" fontId="11" fillId="0" borderId="0" xfId="1" applyNumberFormat="1" applyFont="1" applyBorder="1" applyAlignment="1">
      <alignment vertical="center" wrapText="1" readingOrder="1"/>
    </xf>
    <xf numFmtId="43" fontId="7" fillId="3" borderId="0" xfId="1" applyFont="1" applyFill="1" applyBorder="1" applyAlignment="1">
      <alignment vertical="center" wrapText="1"/>
    </xf>
    <xf numFmtId="43" fontId="7" fillId="3" borderId="0" xfId="1" applyNumberFormat="1" applyFont="1" applyFill="1" applyBorder="1" applyAlignment="1">
      <alignment vertical="center" wrapText="1"/>
    </xf>
    <xf numFmtId="0" fontId="4" fillId="9" borderId="0" xfId="0" applyFont="1" applyFill="1" applyBorder="1" applyAlignment="1">
      <alignment vertical="center" wrapText="1"/>
    </xf>
    <xf numFmtId="169" fontId="11" fillId="0" borderId="10" xfId="1" applyNumberFormat="1" applyFont="1" applyBorder="1" applyAlignment="1">
      <alignment vertical="center" wrapText="1" readingOrder="1"/>
    </xf>
    <xf numFmtId="168" fontId="11" fillId="0" borderId="11" xfId="1" applyNumberFormat="1" applyFont="1" applyBorder="1" applyAlignment="1">
      <alignment vertical="center" wrapText="1" readingOrder="1"/>
    </xf>
    <xf numFmtId="0" fontId="4" fillId="9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6" fontId="19" fillId="0" borderId="2" xfId="0" applyNumberFormat="1" applyFont="1" applyBorder="1" applyAlignment="1">
      <alignment vertical="center" wrapText="1" readingOrder="1"/>
    </xf>
    <xf numFmtId="176" fontId="19" fillId="0" borderId="2" xfId="2" applyNumberFormat="1" applyFont="1" applyBorder="1" applyAlignment="1">
      <alignment vertical="center" wrapText="1" readingOrder="1"/>
    </xf>
    <xf numFmtId="2" fontId="19" fillId="0" borderId="2" xfId="0" applyNumberFormat="1" applyFont="1" applyBorder="1" applyAlignment="1">
      <alignment vertical="center" wrapText="1" readingOrder="1"/>
    </xf>
    <xf numFmtId="176" fontId="19" fillId="0" borderId="11" xfId="2" applyNumberFormat="1" applyFont="1" applyBorder="1" applyAlignment="1">
      <alignment vertical="center" wrapText="1" readingOrder="1"/>
    </xf>
    <xf numFmtId="0" fontId="8" fillId="0" borderId="0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horizontal="center" vertical="center" wrapText="1"/>
    </xf>
    <xf numFmtId="3" fontId="20" fillId="9" borderId="8" xfId="4" applyNumberFormat="1" applyFont="1" applyFill="1" applyBorder="1" applyAlignment="1">
      <alignment vertical="center" wrapText="1"/>
    </xf>
    <xf numFmtId="1" fontId="7" fillId="0" borderId="2" xfId="1" applyNumberFormat="1" applyFont="1" applyBorder="1" applyAlignment="1">
      <alignment horizontal="right" vertical="center"/>
    </xf>
    <xf numFmtId="0" fontId="18" fillId="8" borderId="13" xfId="0" applyFont="1" applyFill="1" applyBorder="1" applyAlignment="1">
      <alignment horizontal="right" vertical="center" wrapText="1"/>
    </xf>
    <xf numFmtId="173" fontId="20" fillId="0" borderId="2" xfId="1" applyNumberFormat="1" applyFont="1" applyBorder="1" applyAlignment="1">
      <alignment horizontal="right" vertical="center" wrapText="1"/>
    </xf>
    <xf numFmtId="2" fontId="7" fillId="9" borderId="15" xfId="0" applyNumberFormat="1" applyFont="1" applyFill="1" applyBorder="1" applyAlignment="1">
      <alignment vertical="center" wrapText="1"/>
    </xf>
    <xf numFmtId="43" fontId="7" fillId="9" borderId="15" xfId="1" applyNumberFormat="1" applyFont="1" applyFill="1" applyBorder="1" applyAlignment="1">
      <alignment horizontal="right" vertical="center" wrapText="1"/>
    </xf>
    <xf numFmtId="2" fontId="7" fillId="0" borderId="10" xfId="0" applyNumberFormat="1" applyFont="1" applyBorder="1" applyAlignment="1">
      <alignment vertical="center" wrapText="1" readingOrder="2"/>
    </xf>
    <xf numFmtId="2" fontId="7" fillId="0" borderId="2" xfId="0" applyNumberFormat="1" applyFont="1" applyBorder="1" applyAlignment="1">
      <alignment vertical="center" wrapText="1" readingOrder="2"/>
    </xf>
    <xf numFmtId="2" fontId="7" fillId="0" borderId="3" xfId="0" applyNumberFormat="1" applyFont="1" applyBorder="1" applyAlignment="1">
      <alignment vertical="center" wrapText="1" readingOrder="2"/>
    </xf>
    <xf numFmtId="2" fontId="7" fillId="0" borderId="2" xfId="0" applyNumberFormat="1" applyFont="1" applyFill="1" applyBorder="1" applyAlignment="1">
      <alignment vertical="center" wrapText="1" readingOrder="2"/>
    </xf>
    <xf numFmtId="2" fontId="7" fillId="0" borderId="3" xfId="0" applyNumberFormat="1" applyFont="1" applyFill="1" applyBorder="1" applyAlignment="1">
      <alignment vertical="center" wrapText="1" readingOrder="2"/>
    </xf>
    <xf numFmtId="2" fontId="7" fillId="9" borderId="15" xfId="0" applyNumberFormat="1" applyFont="1" applyFill="1" applyBorder="1" applyAlignment="1">
      <alignment vertical="center" wrapText="1" readingOrder="2"/>
    </xf>
    <xf numFmtId="3" fontId="7" fillId="0" borderId="21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3" fontId="7" fillId="0" borderId="26" xfId="0" applyNumberFormat="1" applyFont="1" applyBorder="1" applyAlignment="1">
      <alignment vertical="center" readingOrder="2"/>
    </xf>
    <xf numFmtId="171" fontId="7" fillId="0" borderId="26" xfId="0" applyNumberFormat="1" applyFont="1" applyBorder="1" applyAlignment="1">
      <alignment vertical="center" readingOrder="2"/>
    </xf>
    <xf numFmtId="3" fontId="7" fillId="0" borderId="21" xfId="0" applyNumberFormat="1" applyFont="1" applyBorder="1" applyAlignment="1">
      <alignment vertical="center" readingOrder="2"/>
    </xf>
    <xf numFmtId="171" fontId="7" fillId="0" borderId="21" xfId="0" applyNumberFormat="1" applyFont="1" applyBorder="1" applyAlignment="1">
      <alignment vertical="center" readingOrder="2"/>
    </xf>
    <xf numFmtId="3" fontId="7" fillId="0" borderId="23" xfId="0" applyNumberFormat="1" applyFont="1" applyBorder="1" applyAlignment="1">
      <alignment vertical="center" readingOrder="2"/>
    </xf>
    <xf numFmtId="171" fontId="7" fillId="0" borderId="23" xfId="0" applyNumberFormat="1" applyFont="1" applyBorder="1" applyAlignment="1">
      <alignment vertical="center" readingOrder="2"/>
    </xf>
    <xf numFmtId="0" fontId="8" fillId="3" borderId="0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 readingOrder="2"/>
    </xf>
    <xf numFmtId="171" fontId="7" fillId="0" borderId="0" xfId="0" applyNumberFormat="1" applyFont="1" applyBorder="1" applyAlignment="1">
      <alignment vertical="center" readingOrder="2"/>
    </xf>
    <xf numFmtId="167" fontId="7" fillId="0" borderId="0" xfId="1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7" fillId="0" borderId="25" xfId="0" applyNumberFormat="1" applyFont="1" applyBorder="1" applyAlignment="1">
      <alignment vertical="center" readingOrder="2"/>
    </xf>
    <xf numFmtId="3" fontId="7" fillId="0" borderId="22" xfId="0" applyNumberFormat="1" applyFont="1" applyBorder="1" applyAlignment="1">
      <alignment vertical="center" readingOrder="2"/>
    </xf>
    <xf numFmtId="3" fontId="7" fillId="0" borderId="24" xfId="0" applyNumberFormat="1" applyFont="1" applyBorder="1" applyAlignment="1">
      <alignment vertical="center" readingOrder="2"/>
    </xf>
    <xf numFmtId="164" fontId="0" fillId="0" borderId="0" xfId="0" applyNumberFormat="1"/>
    <xf numFmtId="167" fontId="1" fillId="0" borderId="0" xfId="1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8" fillId="0" borderId="0" xfId="0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vertical="center" readingOrder="2"/>
    </xf>
    <xf numFmtId="171" fontId="7" fillId="0" borderId="17" xfId="0" applyNumberFormat="1" applyFont="1" applyBorder="1" applyAlignment="1">
      <alignment vertical="center" readingOrder="2"/>
    </xf>
    <xf numFmtId="0" fontId="8" fillId="0" borderId="5" xfId="0" applyFont="1" applyBorder="1" applyAlignment="1">
      <alignment vertical="center" readingOrder="2"/>
    </xf>
    <xf numFmtId="0" fontId="0" fillId="0" borderId="5" xfId="0" applyFont="1" applyBorder="1" applyAlignment="1">
      <alignment vertical="center" readingOrder="2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7" fillId="0" borderId="9" xfId="3" applyFont="1" applyFill="1" applyBorder="1" applyAlignment="1">
      <alignment horizontal="right" vertical="center" wrapText="1" readingOrder="2"/>
    </xf>
    <xf numFmtId="3" fontId="7" fillId="9" borderId="22" xfId="0" applyNumberFormat="1" applyFont="1" applyFill="1" applyBorder="1" applyAlignment="1">
      <alignment vertical="center" readingOrder="2"/>
    </xf>
    <xf numFmtId="3" fontId="7" fillId="9" borderId="21" xfId="0" applyNumberFormat="1" applyFont="1" applyFill="1" applyBorder="1" applyAlignment="1">
      <alignment vertical="center" readingOrder="2"/>
    </xf>
    <xf numFmtId="171" fontId="7" fillId="9" borderId="21" xfId="0" applyNumberFormat="1" applyFont="1" applyFill="1" applyBorder="1" applyAlignment="1">
      <alignment vertical="center" readingOrder="2"/>
    </xf>
    <xf numFmtId="3" fontId="7" fillId="9" borderId="28" xfId="0" applyNumberFormat="1" applyFont="1" applyFill="1" applyBorder="1" applyAlignment="1">
      <alignment vertical="center" readingOrder="2"/>
    </xf>
    <xf numFmtId="3" fontId="7" fillId="9" borderId="27" xfId="0" applyNumberFormat="1" applyFont="1" applyFill="1" applyBorder="1" applyAlignment="1">
      <alignment vertical="center" readingOrder="2"/>
    </xf>
    <xf numFmtId="171" fontId="7" fillId="9" borderId="27" xfId="0" applyNumberFormat="1" applyFont="1" applyFill="1" applyBorder="1" applyAlignment="1">
      <alignment vertical="center" readingOrder="2"/>
    </xf>
    <xf numFmtId="171" fontId="7" fillId="0" borderId="0" xfId="0" applyNumberFormat="1" applyFont="1" applyFill="1" applyBorder="1" applyAlignment="1">
      <alignment vertical="center" readingOrder="2"/>
    </xf>
    <xf numFmtId="0" fontId="12" fillId="0" borderId="0" xfId="0" applyFont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 wrapText="1"/>
    </xf>
    <xf numFmtId="2" fontId="7" fillId="0" borderId="11" xfId="1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right" vertical="center" wrapText="1"/>
    </xf>
    <xf numFmtId="167" fontId="7" fillId="0" borderId="10" xfId="1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171" fontId="7" fillId="9" borderId="28" xfId="0" applyNumberFormat="1" applyFont="1" applyFill="1" applyBorder="1" applyAlignment="1">
      <alignment vertical="center" readingOrder="2"/>
    </xf>
    <xf numFmtId="0" fontId="53" fillId="0" borderId="0" xfId="0" applyFont="1" applyBorder="1" applyAlignment="1">
      <alignment horizontal="right" vertical="center" wrapText="1"/>
    </xf>
    <xf numFmtId="171" fontId="0" fillId="0" borderId="0" xfId="0" applyNumberFormat="1"/>
    <xf numFmtId="171" fontId="7" fillId="0" borderId="25" xfId="0" applyNumberFormat="1" applyFont="1" applyBorder="1" applyAlignment="1">
      <alignment vertical="center" readingOrder="2"/>
    </xf>
    <xf numFmtId="171" fontId="7" fillId="9" borderId="25" xfId="0" applyNumberFormat="1" applyFont="1" applyFill="1" applyBorder="1" applyAlignment="1">
      <alignment vertical="center" readingOrder="2"/>
    </xf>
    <xf numFmtId="171" fontId="0" fillId="0" borderId="0" xfId="0" applyNumberFormat="1" applyBorder="1"/>
    <xf numFmtId="3" fontId="20" fillId="3" borderId="13" xfId="3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 readingOrder="2"/>
    </xf>
    <xf numFmtId="3" fontId="20" fillId="3" borderId="0" xfId="3" applyNumberFormat="1" applyFont="1" applyFill="1" applyBorder="1" applyAlignment="1">
      <alignment horizontal="center" vertical="center"/>
    </xf>
    <xf numFmtId="167" fontId="7" fillId="9" borderId="6" xfId="1" applyNumberFormat="1" applyFont="1" applyFill="1" applyBorder="1" applyAlignment="1">
      <alignment vertical="center" wrapText="1"/>
    </xf>
    <xf numFmtId="167" fontId="7" fillId="0" borderId="10" xfId="1" applyNumberFormat="1" applyFont="1" applyBorder="1" applyAlignment="1">
      <alignment vertical="center" wrapText="1"/>
    </xf>
    <xf numFmtId="167" fontId="7" fillId="0" borderId="13" xfId="1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 wrapText="1"/>
    </xf>
    <xf numFmtId="0" fontId="46" fillId="0" borderId="0" xfId="3" applyFont="1" applyFill="1" applyBorder="1" applyAlignment="1">
      <alignment horizontal="right" vertical="center" readingOrder="2"/>
    </xf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0" fontId="4" fillId="8" borderId="9" xfId="4" applyFont="1" applyFill="1" applyBorder="1" applyAlignment="1">
      <alignment horizontal="center" vertical="center" wrapText="1"/>
    </xf>
    <xf numFmtId="37" fontId="20" fillId="9" borderId="15" xfId="1" applyNumberFormat="1" applyFont="1" applyFill="1" applyBorder="1" applyAlignment="1">
      <alignment vertical="center"/>
    </xf>
    <xf numFmtId="3" fontId="23" fillId="0" borderId="0" xfId="3" applyNumberFormat="1"/>
    <xf numFmtId="2" fontId="0" fillId="0" borderId="0" xfId="0" applyNumberForma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165" fontId="7" fillId="0" borderId="13" xfId="0" applyNumberFormat="1" applyFont="1" applyBorder="1" applyAlignment="1">
      <alignment vertical="center" wrapText="1"/>
    </xf>
    <xf numFmtId="0" fontId="19" fillId="0" borderId="2" xfId="0" applyNumberFormat="1" applyFont="1" applyBorder="1" applyAlignment="1">
      <alignment vertical="center" wrapText="1" readingOrder="1"/>
    </xf>
    <xf numFmtId="170" fontId="19" fillId="0" borderId="2" xfId="2" applyNumberFormat="1" applyFont="1" applyBorder="1" applyAlignment="1">
      <alignment vertical="center" wrapText="1" readingOrder="1"/>
    </xf>
    <xf numFmtId="177" fontId="19" fillId="0" borderId="2" xfId="2" applyNumberFormat="1" applyFont="1" applyBorder="1" applyAlignment="1">
      <alignment vertical="center" wrapText="1" readingOrder="1"/>
    </xf>
    <xf numFmtId="165" fontId="19" fillId="0" borderId="10" xfId="0" applyNumberFormat="1" applyFont="1" applyBorder="1" applyAlignment="1">
      <alignment vertical="center" wrapText="1" readingOrder="1"/>
    </xf>
    <xf numFmtId="2" fontId="19" fillId="0" borderId="10" xfId="0" applyNumberFormat="1" applyFont="1" applyBorder="1" applyAlignment="1">
      <alignment vertical="center" wrapText="1" readingOrder="1"/>
    </xf>
    <xf numFmtId="1" fontId="19" fillId="0" borderId="10" xfId="0" applyNumberFormat="1" applyFont="1" applyBorder="1" applyAlignment="1">
      <alignment vertical="center" wrapText="1" readingOrder="1"/>
    </xf>
    <xf numFmtId="165" fontId="19" fillId="0" borderId="2" xfId="0" applyNumberFormat="1" applyFont="1" applyBorder="1" applyAlignment="1">
      <alignment vertical="center" wrapText="1" readingOrder="1"/>
    </xf>
    <xf numFmtId="0" fontId="19" fillId="0" borderId="2" xfId="0" applyFont="1" applyBorder="1" applyAlignment="1">
      <alignment vertical="center" wrapText="1" readingOrder="1"/>
    </xf>
    <xf numFmtId="178" fontId="19" fillId="0" borderId="2" xfId="2" applyNumberFormat="1" applyFont="1" applyBorder="1" applyAlignment="1">
      <alignment vertical="center" wrapText="1" readingOrder="2"/>
    </xf>
    <xf numFmtId="176" fontId="19" fillId="0" borderId="2" xfId="2" applyNumberFormat="1" applyFont="1" applyBorder="1" applyAlignment="1">
      <alignment vertical="center" wrapText="1" readingOrder="2"/>
    </xf>
    <xf numFmtId="165" fontId="19" fillId="0" borderId="2" xfId="2" applyNumberFormat="1" applyFont="1" applyBorder="1" applyAlignment="1">
      <alignment vertical="center" wrapText="1" readingOrder="2"/>
    </xf>
    <xf numFmtId="165" fontId="19" fillId="0" borderId="2" xfId="2" applyNumberFormat="1" applyFont="1" applyBorder="1" applyAlignment="1">
      <alignment vertical="center" wrapText="1" readingOrder="1"/>
    </xf>
    <xf numFmtId="1" fontId="19" fillId="0" borderId="2" xfId="2" applyNumberFormat="1" applyFont="1" applyBorder="1" applyAlignment="1">
      <alignment vertical="center" wrapText="1" readingOrder="1"/>
    </xf>
    <xf numFmtId="170" fontId="19" fillId="0" borderId="11" xfId="2" applyNumberFormat="1" applyFont="1" applyBorder="1" applyAlignment="1">
      <alignment vertical="center" wrapText="1" readingOrder="1"/>
    </xf>
    <xf numFmtId="4" fontId="7" fillId="7" borderId="11" xfId="0" applyNumberFormat="1" applyFont="1" applyFill="1" applyBorder="1" applyAlignment="1">
      <alignment vertical="center" wrapText="1" readingOrder="1"/>
    </xf>
    <xf numFmtId="171" fontId="7" fillId="0" borderId="5" xfId="0" applyNumberFormat="1" applyFont="1" applyBorder="1" applyAlignment="1">
      <alignment vertical="center" readingOrder="2"/>
    </xf>
    <xf numFmtId="3" fontId="7" fillId="0" borderId="5" xfId="0" applyNumberFormat="1" applyFont="1" applyBorder="1" applyAlignment="1">
      <alignment horizontal="center" vertical="center" readingOrder="2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" fontId="7" fillId="9" borderId="15" xfId="0" applyNumberFormat="1" applyFont="1" applyFill="1" applyBorder="1" applyAlignment="1">
      <alignment vertical="center" wrapText="1"/>
    </xf>
    <xf numFmtId="1" fontId="7" fillId="0" borderId="10" xfId="0" applyNumberFormat="1" applyFont="1" applyBorder="1" applyAlignment="1">
      <alignment horizontal="right" vertical="center" wrapText="1" readingOrder="2"/>
    </xf>
    <xf numFmtId="1" fontId="7" fillId="0" borderId="2" xfId="0" applyNumberFormat="1" applyFont="1" applyBorder="1" applyAlignment="1">
      <alignment horizontal="right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167" fontId="7" fillId="9" borderId="15" xfId="1" applyNumberFormat="1" applyFont="1" applyFill="1" applyBorder="1" applyAlignment="1">
      <alignment vertical="center" wrapText="1"/>
    </xf>
    <xf numFmtId="167" fontId="7" fillId="8" borderId="15" xfId="1" applyNumberFormat="1" applyFont="1" applyFill="1" applyBorder="1" applyAlignment="1">
      <alignment horizontal="right" vertical="center" wrapText="1"/>
    </xf>
    <xf numFmtId="0" fontId="53" fillId="0" borderId="0" xfId="0" applyFont="1" applyAlignment="1">
      <alignment horizontal="right"/>
    </xf>
    <xf numFmtId="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/>
    </xf>
    <xf numFmtId="0" fontId="4" fillId="8" borderId="1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right" vertical="center" readingOrder="2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right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 readingOrder="2"/>
    </xf>
    <xf numFmtId="0" fontId="8" fillId="0" borderId="0" xfId="0" applyFont="1" applyFill="1" applyAlignment="1">
      <alignment horizontal="right" vertical="center" wrapText="1" readingOrder="2"/>
    </xf>
    <xf numFmtId="0" fontId="8" fillId="3" borderId="0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 readingOrder="2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right" vertical="center" wrapText="1"/>
    </xf>
    <xf numFmtId="0" fontId="8" fillId="8" borderId="13" xfId="0" applyFont="1" applyFill="1" applyBorder="1" applyAlignment="1">
      <alignment horizontal="right" vertical="center" wrapText="1"/>
    </xf>
    <xf numFmtId="0" fontId="8" fillId="8" borderId="14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4" fillId="8" borderId="9" xfId="0" applyFont="1" applyFill="1" applyBorder="1" applyAlignment="1">
      <alignment horizontal="right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right" vertical="center" wrapText="1" readingOrder="2"/>
    </xf>
    <xf numFmtId="0" fontId="4" fillId="8" borderId="7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right" vertical="center" readingOrder="2"/>
    </xf>
    <xf numFmtId="0" fontId="12" fillId="3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7" fillId="0" borderId="2" xfId="0" applyFont="1" applyFill="1" applyBorder="1" applyAlignment="1">
      <alignment vertical="center" wrapText="1" readingOrder="2"/>
    </xf>
    <xf numFmtId="0" fontId="17" fillId="0" borderId="3" xfId="0" applyFont="1" applyFill="1" applyBorder="1" applyAlignment="1">
      <alignment vertical="center" wrapText="1" readingOrder="2"/>
    </xf>
    <xf numFmtId="0" fontId="17" fillId="0" borderId="12" xfId="0" applyFont="1" applyFill="1" applyBorder="1" applyAlignment="1">
      <alignment vertical="center" wrapText="1" readingOrder="2"/>
    </xf>
    <xf numFmtId="0" fontId="18" fillId="8" borderId="9" xfId="0" applyFont="1" applyFill="1" applyBorder="1" applyAlignment="1">
      <alignment horizontal="right" vertical="center" wrapText="1" readingOrder="2"/>
    </xf>
    <xf numFmtId="0" fontId="18" fillId="8" borderId="7" xfId="0" applyFont="1" applyFill="1" applyBorder="1" applyAlignment="1">
      <alignment horizontal="right" vertical="center" wrapText="1" readingOrder="2"/>
    </xf>
    <xf numFmtId="0" fontId="12" fillId="0" borderId="0" xfId="0" applyFont="1" applyFill="1" applyAlignment="1">
      <alignment horizontal="right" vertical="center" wrapText="1"/>
    </xf>
    <xf numFmtId="0" fontId="17" fillId="8" borderId="9" xfId="0" applyFont="1" applyFill="1" applyBorder="1" applyAlignment="1">
      <alignment horizontal="right" vertical="center" wrapText="1" readingOrder="2"/>
    </xf>
    <xf numFmtId="0" fontId="17" fillId="8" borderId="7" xfId="0" applyFont="1" applyFill="1" applyBorder="1" applyAlignment="1">
      <alignment horizontal="right" vertical="center" wrapText="1" readingOrder="2"/>
    </xf>
    <xf numFmtId="0" fontId="17" fillId="0" borderId="2" xfId="0" applyFont="1" applyFill="1" applyBorder="1" applyAlignment="1">
      <alignment horizontal="right" vertical="center" wrapText="1" readingOrder="2"/>
    </xf>
    <xf numFmtId="0" fontId="17" fillId="0" borderId="11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 readingOrder="2"/>
    </xf>
    <xf numFmtId="0" fontId="17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 readingOrder="1"/>
    </xf>
    <xf numFmtId="2" fontId="19" fillId="0" borderId="2" xfId="0" applyNumberFormat="1" applyFont="1" applyBorder="1" applyAlignment="1">
      <alignment horizontal="right" vertical="center" wrapText="1" readingOrder="1"/>
    </xf>
    <xf numFmtId="166" fontId="19" fillId="0" borderId="10" xfId="0" applyNumberFormat="1" applyFont="1" applyBorder="1" applyAlignment="1">
      <alignment horizontal="right" vertical="center" wrapText="1" readingOrder="1"/>
    </xf>
    <xf numFmtId="166" fontId="19" fillId="0" borderId="2" xfId="0" applyNumberFormat="1" applyFont="1" applyBorder="1" applyAlignment="1">
      <alignment horizontal="right" vertical="center" wrapText="1" readingOrder="1"/>
    </xf>
    <xf numFmtId="0" fontId="17" fillId="0" borderId="5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17" xfId="0" applyFont="1" applyBorder="1" applyAlignment="1">
      <alignment horizontal="right" vertical="center" wrapText="1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 wrapText="1" readingOrder="2"/>
    </xf>
    <xf numFmtId="0" fontId="8" fillId="0" borderId="9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4" fillId="8" borderId="9" xfId="0" applyFont="1" applyFill="1" applyBorder="1" applyAlignment="1">
      <alignment horizontal="right" wrapText="1"/>
    </xf>
    <xf numFmtId="0" fontId="4" fillId="8" borderId="7" xfId="0" applyFont="1" applyFill="1" applyBorder="1" applyAlignment="1">
      <alignment horizontal="right" wrapText="1"/>
    </xf>
    <xf numFmtId="0" fontId="40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17" fillId="0" borderId="17" xfId="0" applyFont="1" applyBorder="1" applyAlignment="1">
      <alignment vertical="center" wrapText="1" readingOrder="2"/>
    </xf>
    <xf numFmtId="0" fontId="4" fillId="8" borderId="9" xfId="3" applyFont="1" applyFill="1" applyBorder="1" applyAlignment="1">
      <alignment vertical="center" wrapText="1" readingOrder="2"/>
    </xf>
    <xf numFmtId="0" fontId="4" fillId="8" borderId="7" xfId="3" applyFont="1" applyFill="1" applyBorder="1" applyAlignment="1">
      <alignment vertical="center" wrapText="1" readingOrder="2"/>
    </xf>
    <xf numFmtId="0" fontId="4" fillId="8" borderId="14" xfId="3" applyFont="1" applyFill="1" applyBorder="1" applyAlignment="1">
      <alignment horizontal="center" vertical="center" wrapText="1" readingOrder="2"/>
    </xf>
    <xf numFmtId="0" fontId="40" fillId="0" borderId="0" xfId="3" applyFont="1" applyBorder="1" applyAlignment="1">
      <alignment horizontal="center" vertical="center" wrapText="1" readingOrder="2"/>
    </xf>
    <xf numFmtId="0" fontId="4" fillId="8" borderId="9" xfId="3" applyFont="1" applyFill="1" applyBorder="1" applyAlignment="1">
      <alignment horizontal="center" vertical="center" wrapText="1" readingOrder="2"/>
    </xf>
    <xf numFmtId="0" fontId="17" fillId="0" borderId="9" xfId="3" applyFont="1" applyFill="1" applyBorder="1" applyAlignment="1">
      <alignment horizontal="right" vertical="center" wrapText="1" readingOrder="2"/>
    </xf>
    <xf numFmtId="0" fontId="18" fillId="0" borderId="0" xfId="0" applyFont="1" applyBorder="1" applyAlignment="1">
      <alignment horizontal="right" vertical="center" wrapText="1" readingOrder="2"/>
    </xf>
    <xf numFmtId="0" fontId="21" fillId="0" borderId="0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horizontal="center" vertical="center" wrapText="1"/>
    </xf>
    <xf numFmtId="0" fontId="41" fillId="0" borderId="0" xfId="3" applyFont="1" applyBorder="1" applyAlignment="1">
      <alignment horizontal="center" vertical="center"/>
    </xf>
    <xf numFmtId="0" fontId="41" fillId="0" borderId="0" xfId="3" applyFont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right" vertical="center" wrapText="1" readingOrder="2"/>
    </xf>
    <xf numFmtId="0" fontId="46" fillId="0" borderId="0" xfId="3" applyFont="1" applyFill="1" applyBorder="1" applyAlignment="1">
      <alignment horizontal="right" vertical="center" readingOrder="2"/>
    </xf>
    <xf numFmtId="0" fontId="40" fillId="0" borderId="0" xfId="3" applyFont="1" applyBorder="1" applyAlignment="1">
      <alignment horizontal="center" vertical="center" wrapText="1"/>
    </xf>
    <xf numFmtId="0" fontId="40" fillId="0" borderId="0" xfId="3" applyFont="1" applyAlignment="1">
      <alignment horizontal="right" vertical="center"/>
    </xf>
    <xf numFmtId="0" fontId="4" fillId="8" borderId="9" xfId="3" applyFont="1" applyFill="1" applyBorder="1" applyAlignment="1">
      <alignment horizontal="right" vertical="center" wrapText="1"/>
    </xf>
    <xf numFmtId="0" fontId="4" fillId="8" borderId="7" xfId="3" applyFont="1" applyFill="1" applyBorder="1" applyAlignment="1">
      <alignment horizontal="right" vertical="center" wrapText="1"/>
    </xf>
    <xf numFmtId="0" fontId="4" fillId="8" borderId="9" xfId="3" applyFont="1" applyFill="1" applyBorder="1" applyAlignment="1">
      <alignment horizontal="center" vertical="center" wrapText="1"/>
    </xf>
    <xf numFmtId="0" fontId="4" fillId="8" borderId="7" xfId="3" applyFont="1" applyFill="1" applyBorder="1" applyAlignment="1">
      <alignment horizontal="center" vertical="center" wrapText="1"/>
    </xf>
    <xf numFmtId="0" fontId="40" fillId="3" borderId="0" xfId="4" applyFont="1" applyFill="1" applyBorder="1" applyAlignment="1">
      <alignment horizontal="center" vertical="center" wrapText="1"/>
    </xf>
    <xf numFmtId="0" fontId="40" fillId="3" borderId="0" xfId="4" applyFont="1" applyFill="1" applyAlignment="1">
      <alignment vertical="center"/>
    </xf>
    <xf numFmtId="0" fontId="4" fillId="8" borderId="9" xfId="4" applyFont="1" applyFill="1" applyBorder="1" applyAlignment="1">
      <alignment horizontal="right" vertical="center" wrapText="1"/>
    </xf>
    <xf numFmtId="0" fontId="4" fillId="8" borderId="7" xfId="4" applyFont="1" applyFill="1" applyBorder="1" applyAlignment="1">
      <alignment horizontal="right" vertical="center" wrapText="1"/>
    </xf>
    <xf numFmtId="0" fontId="4" fillId="8" borderId="14" xfId="4" applyFont="1" applyFill="1" applyBorder="1" applyAlignment="1">
      <alignment horizontal="center" vertical="center" wrapText="1"/>
    </xf>
    <xf numFmtId="0" fontId="4" fillId="8" borderId="9" xfId="4" applyFont="1" applyFill="1" applyBorder="1" applyAlignment="1">
      <alignment horizontal="center" vertical="center" wrapText="1"/>
    </xf>
    <xf numFmtId="0" fontId="4" fillId="8" borderId="7" xfId="4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justify" vertical="center" wrapText="1"/>
    </xf>
    <xf numFmtId="167" fontId="7" fillId="9" borderId="3" xfId="1" applyNumberFormat="1" applyFont="1" applyFill="1" applyBorder="1" applyAlignment="1">
      <alignment vertical="center" wrapText="1"/>
    </xf>
    <xf numFmtId="167" fontId="7" fillId="9" borderId="7" xfId="1" applyNumberFormat="1" applyFont="1" applyFill="1" applyBorder="1" applyAlignment="1">
      <alignment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right" vertical="center" wrapText="1"/>
    </xf>
    <xf numFmtId="0" fontId="35" fillId="8" borderId="0" xfId="0" applyFont="1" applyFill="1" applyBorder="1" applyAlignment="1">
      <alignment horizontal="right" vertical="center" wrapText="1"/>
    </xf>
    <xf numFmtId="0" fontId="35" fillId="8" borderId="7" xfId="0" applyFont="1" applyFill="1" applyBorder="1" applyAlignment="1">
      <alignment horizontal="right" vertical="center" wrapText="1"/>
    </xf>
    <xf numFmtId="0" fontId="8" fillId="9" borderId="2" xfId="0" applyFont="1" applyFill="1" applyBorder="1" applyAlignment="1">
      <alignment horizontal="center" vertical="center" wrapText="1"/>
    </xf>
    <xf numFmtId="167" fontId="7" fillId="9" borderId="2" xfId="1" applyNumberFormat="1" applyFont="1" applyFill="1" applyBorder="1" applyAlignment="1">
      <alignment horizontal="center" vertical="center" wrapText="1"/>
    </xf>
    <xf numFmtId="167" fontId="7" fillId="9" borderId="12" xfId="1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right" vertical="center" wrapText="1" readingOrder="2"/>
    </xf>
    <xf numFmtId="0" fontId="8" fillId="7" borderId="0" xfId="0" applyFont="1" applyFill="1" applyBorder="1" applyAlignment="1">
      <alignment horizontal="right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3" fillId="0" borderId="9" xfId="0" applyFont="1" applyFill="1" applyBorder="1" applyAlignment="1">
      <alignment horizontal="right" readingOrder="2"/>
    </xf>
    <xf numFmtId="0" fontId="48" fillId="0" borderId="9" xfId="0" applyFont="1" applyFill="1" applyBorder="1" applyAlignment="1">
      <alignment horizontal="right" readingOrder="2"/>
    </xf>
    <xf numFmtId="0" fontId="48" fillId="0" borderId="0" xfId="0" applyFont="1" applyFill="1" applyBorder="1" applyAlignment="1">
      <alignment horizontal="right" readingOrder="2"/>
    </xf>
    <xf numFmtId="0" fontId="48" fillId="0" borderId="9" xfId="0" applyFont="1" applyFill="1" applyBorder="1" applyAlignment="1">
      <alignment horizontal="right" vertical="top" readingOrder="2"/>
    </xf>
    <xf numFmtId="0" fontId="53" fillId="0" borderId="5" xfId="0" applyFont="1" applyBorder="1"/>
    <xf numFmtId="0" fontId="53" fillId="0" borderId="0" xfId="0" applyFont="1" applyBorder="1"/>
    <xf numFmtId="0" fontId="53" fillId="0" borderId="0" xfId="0" applyFont="1" applyBorder="1" applyAlignment="1">
      <alignment horizontal="right" vertical="center" wrapText="1"/>
    </xf>
    <xf numFmtId="0" fontId="48" fillId="0" borderId="5" xfId="0" applyFont="1" applyBorder="1" applyAlignment="1">
      <alignment horizontal="right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171" fontId="4" fillId="8" borderId="9" xfId="0" applyNumberFormat="1" applyFont="1" applyFill="1" applyBorder="1" applyAlignment="1">
      <alignment horizontal="center" vertical="center" wrapText="1"/>
    </xf>
    <xf numFmtId="171" fontId="4" fillId="8" borderId="7" xfId="0" applyNumberFormat="1" applyFont="1" applyFill="1" applyBorder="1" applyAlignment="1">
      <alignment horizontal="center" vertical="center" wrapText="1"/>
    </xf>
    <xf numFmtId="0" fontId="48" fillId="0" borderId="31" xfId="0" applyFont="1" applyBorder="1" applyAlignment="1">
      <alignment horizontal="center" vertical="center" wrapText="1"/>
    </xf>
    <xf numFmtId="0" fontId="48" fillId="0" borderId="32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right" vertical="center"/>
    </xf>
    <xf numFmtId="0" fontId="4" fillId="8" borderId="7" xfId="0" applyFont="1" applyFill="1" applyBorder="1" applyAlignment="1">
      <alignment horizontal="right" vertical="center"/>
    </xf>
    <xf numFmtId="0" fontId="4" fillId="8" borderId="1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right" vertical="center" wrapText="1"/>
    </xf>
    <xf numFmtId="0" fontId="53" fillId="0" borderId="0" xfId="0" applyFont="1" applyAlignment="1">
      <alignment horizontal="right"/>
    </xf>
    <xf numFmtId="167" fontId="4" fillId="8" borderId="1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8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4" fillId="9" borderId="13" xfId="0" applyFont="1" applyFill="1" applyBorder="1" applyAlignment="1">
      <alignment horizontal="right" vertical="center" wrapText="1" readingOrder="2"/>
    </xf>
  </cellXfs>
  <cellStyles count="5">
    <cellStyle name="Comma" xfId="1" builtinId="3"/>
    <cellStyle name="Normal" xfId="0" builtinId="0"/>
    <cellStyle name="Normal_جداول الإخراج  الماء 23-3-2011" xfId="3"/>
    <cellStyle name="Normal_جداول الإخراج  الماء 24-3-2011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hjjm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T5">
            <v>1353552</v>
          </cell>
        </row>
        <row r="6">
          <cell r="T6">
            <v>411651</v>
          </cell>
        </row>
        <row r="7">
          <cell r="T7">
            <v>651800</v>
          </cell>
        </row>
        <row r="8">
          <cell r="T8">
            <v>52292</v>
          </cell>
        </row>
        <row r="9">
          <cell r="T9">
            <v>4087612</v>
          </cell>
        </row>
        <row r="10">
          <cell r="T10">
            <v>807068</v>
          </cell>
        </row>
        <row r="11">
          <cell r="T11">
            <v>651381</v>
          </cell>
        </row>
        <row r="12">
          <cell r="T12">
            <v>570969</v>
          </cell>
        </row>
        <row r="13">
          <cell r="T13">
            <v>674854</v>
          </cell>
        </row>
        <row r="14">
          <cell r="T14">
            <v>500722</v>
          </cell>
        </row>
        <row r="15">
          <cell r="T15">
            <v>766110</v>
          </cell>
        </row>
        <row r="16">
          <cell r="T16">
            <v>439809</v>
          </cell>
        </row>
        <row r="17">
          <cell r="T17">
            <v>238640</v>
          </cell>
        </row>
        <row r="18">
          <cell r="T18">
            <v>620016</v>
          </cell>
        </row>
        <row r="19">
          <cell r="T19">
            <v>430030</v>
          </cell>
        </row>
        <row r="20">
          <cell r="T20">
            <v>1536826</v>
          </cell>
        </row>
        <row r="21">
          <cell r="T21">
            <v>13793332</v>
          </cell>
        </row>
      </sheetData>
      <sheetData sheetId="17"/>
      <sheetData sheetId="18">
        <row r="5">
          <cell r="B5">
            <v>2203503</v>
          </cell>
          <cell r="C5">
            <v>1430145</v>
          </cell>
          <cell r="D5">
            <v>3633648</v>
          </cell>
          <cell r="F5">
            <v>2093328</v>
          </cell>
          <cell r="G5">
            <v>1072609</v>
          </cell>
        </row>
        <row r="6">
          <cell r="B6">
            <v>1150607</v>
          </cell>
          <cell r="C6">
            <v>406011</v>
          </cell>
          <cell r="D6">
            <v>1556618</v>
          </cell>
          <cell r="F6">
            <v>1058558</v>
          </cell>
          <cell r="G6">
            <v>336989</v>
          </cell>
        </row>
        <row r="7">
          <cell r="B7">
            <v>784734</v>
          </cell>
          <cell r="C7">
            <v>810208</v>
          </cell>
          <cell r="D7">
            <v>1594942</v>
          </cell>
          <cell r="F7">
            <v>784734</v>
          </cell>
          <cell r="G7">
            <v>640064</v>
          </cell>
        </row>
        <row r="8">
          <cell r="B8">
            <v>863237</v>
          </cell>
          <cell r="C8">
            <v>862677</v>
          </cell>
          <cell r="D8">
            <v>1725914</v>
          </cell>
          <cell r="F8">
            <v>776913</v>
          </cell>
          <cell r="G8">
            <v>603874</v>
          </cell>
        </row>
        <row r="9">
          <cell r="B9">
            <v>5838251</v>
          </cell>
          <cell r="C9">
            <v>0</v>
          </cell>
          <cell r="D9">
            <v>5838251</v>
          </cell>
          <cell r="F9">
            <v>5838251</v>
          </cell>
          <cell r="G9">
            <v>0</v>
          </cell>
        </row>
        <row r="10">
          <cell r="B10">
            <v>1088334</v>
          </cell>
          <cell r="C10">
            <v>990262</v>
          </cell>
          <cell r="D10">
            <v>2078596</v>
          </cell>
          <cell r="F10">
            <v>653000</v>
          </cell>
          <cell r="G10">
            <v>396105</v>
          </cell>
        </row>
        <row r="11">
          <cell r="B11">
            <v>971137</v>
          </cell>
          <cell r="C11">
            <v>1040569</v>
          </cell>
          <cell r="D11">
            <v>2011706</v>
          </cell>
          <cell r="F11">
            <v>776910</v>
          </cell>
          <cell r="G11">
            <v>593124</v>
          </cell>
        </row>
        <row r="12">
          <cell r="B12">
            <v>793816</v>
          </cell>
          <cell r="C12">
            <v>393429</v>
          </cell>
          <cell r="D12">
            <v>1187245</v>
          </cell>
          <cell r="F12">
            <v>762063</v>
          </cell>
          <cell r="G12">
            <v>338349</v>
          </cell>
        </row>
        <row r="13">
          <cell r="B13">
            <v>808359</v>
          </cell>
          <cell r="C13">
            <v>534766</v>
          </cell>
          <cell r="D13">
            <v>1343125</v>
          </cell>
          <cell r="F13">
            <v>727523</v>
          </cell>
          <cell r="G13">
            <v>347598</v>
          </cell>
        </row>
        <row r="14">
          <cell r="B14">
            <v>700760</v>
          </cell>
          <cell r="C14">
            <v>853277</v>
          </cell>
          <cell r="D14">
            <v>1554037</v>
          </cell>
          <cell r="F14">
            <v>504547</v>
          </cell>
          <cell r="G14">
            <v>477835</v>
          </cell>
        </row>
        <row r="15">
          <cell r="B15">
            <v>1023818</v>
          </cell>
          <cell r="C15">
            <v>409765</v>
          </cell>
          <cell r="D15">
            <v>1433583</v>
          </cell>
          <cell r="F15">
            <v>1003342</v>
          </cell>
          <cell r="G15">
            <v>336007</v>
          </cell>
        </row>
        <row r="16">
          <cell r="B16">
            <v>720490</v>
          </cell>
          <cell r="C16">
            <v>537199</v>
          </cell>
          <cell r="D16">
            <v>1257689</v>
          </cell>
          <cell r="F16">
            <v>583597</v>
          </cell>
          <cell r="G16">
            <v>333063</v>
          </cell>
        </row>
        <row r="17">
          <cell r="B17">
            <v>360289</v>
          </cell>
          <cell r="C17">
            <v>433054</v>
          </cell>
          <cell r="D17">
            <v>793343</v>
          </cell>
          <cell r="F17">
            <v>320657</v>
          </cell>
          <cell r="G17">
            <v>285816</v>
          </cell>
        </row>
        <row r="18">
          <cell r="B18">
            <v>1310076</v>
          </cell>
          <cell r="C18">
            <v>730990</v>
          </cell>
          <cell r="D18">
            <v>2041066</v>
          </cell>
          <cell r="F18">
            <v>917053</v>
          </cell>
          <cell r="G18">
            <v>570172</v>
          </cell>
        </row>
        <row r="19">
          <cell r="B19">
            <v>800628</v>
          </cell>
          <cell r="C19">
            <v>283309</v>
          </cell>
          <cell r="D19">
            <v>1083937</v>
          </cell>
          <cell r="F19">
            <v>736578</v>
          </cell>
          <cell r="G19">
            <v>249312</v>
          </cell>
        </row>
        <row r="20">
          <cell r="B20">
            <v>2301111</v>
          </cell>
          <cell r="C20">
            <v>532264</v>
          </cell>
          <cell r="D20">
            <v>2833375</v>
          </cell>
          <cell r="F20">
            <v>2071000</v>
          </cell>
          <cell r="G20">
            <v>479038</v>
          </cell>
        </row>
        <row r="21">
          <cell r="B21">
            <v>21719150</v>
          </cell>
          <cell r="C21">
            <v>10247925</v>
          </cell>
          <cell r="D21">
            <v>31967075</v>
          </cell>
          <cell r="F21">
            <v>19608054</v>
          </cell>
          <cell r="G21">
            <v>7059955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F25"/>
  <sheetViews>
    <sheetView rightToLeft="1" view="pageBreakPreview" topLeftCell="A7" zoomScaleNormal="140" zoomScaleSheetLayoutView="100" workbookViewId="0">
      <selection activeCell="F17" sqref="F17"/>
    </sheetView>
  </sheetViews>
  <sheetFormatPr defaultColWidth="9.125" defaultRowHeight="15"/>
  <cols>
    <col min="1" max="1" width="3.125" style="1" customWidth="1"/>
    <col min="2" max="2" width="16.125" style="1" customWidth="1"/>
    <col min="3" max="3" width="22.375" style="1" customWidth="1"/>
    <col min="4" max="4" width="20.375" style="1" customWidth="1"/>
    <col min="5" max="5" width="23.375" style="1" customWidth="1"/>
    <col min="6" max="6" width="18.375" style="1" customWidth="1"/>
    <col min="7" max="7" width="4" style="1" customWidth="1"/>
    <col min="8" max="16384" width="9.125" style="1"/>
  </cols>
  <sheetData>
    <row r="1" spans="2:6" ht="19.5" customHeight="1">
      <c r="B1" s="943" t="s">
        <v>458</v>
      </c>
      <c r="C1" s="943"/>
      <c r="D1" s="943"/>
      <c r="E1" s="943"/>
      <c r="F1" s="943"/>
    </row>
    <row r="2" spans="2:6" ht="22.5" customHeight="1" thickBot="1">
      <c r="B2" s="944" t="s">
        <v>734</v>
      </c>
      <c r="C2" s="944"/>
      <c r="D2" s="944"/>
      <c r="E2" s="944"/>
      <c r="F2" s="944"/>
    </row>
    <row r="3" spans="2:6" ht="32.25" customHeight="1" thickTop="1">
      <c r="B3" s="255" t="s">
        <v>4</v>
      </c>
      <c r="C3" s="255" t="s">
        <v>451</v>
      </c>
      <c r="D3" s="255" t="s">
        <v>44</v>
      </c>
      <c r="E3" s="255" t="s">
        <v>246</v>
      </c>
      <c r="F3" s="256" t="s">
        <v>270</v>
      </c>
    </row>
    <row r="4" spans="2:6" ht="20.25" customHeight="1">
      <c r="B4" s="939" t="s">
        <v>411</v>
      </c>
      <c r="C4" s="649" t="s">
        <v>1</v>
      </c>
      <c r="D4" s="452">
        <v>1219.25</v>
      </c>
      <c r="E4" s="590">
        <v>1453.8333333333333</v>
      </c>
      <c r="F4" s="452">
        <f>D4/E4*100</f>
        <v>83.864496159578124</v>
      </c>
    </row>
    <row r="5" spans="2:6" ht="20.25" customHeight="1">
      <c r="B5" s="940"/>
      <c r="C5" s="66" t="s">
        <v>2</v>
      </c>
      <c r="D5" s="590">
        <v>36.416666666666664</v>
      </c>
      <c r="E5" s="590">
        <v>23.5</v>
      </c>
      <c r="F5" s="590">
        <v>154.96453900709218</v>
      </c>
    </row>
    <row r="6" spans="2:6" ht="20.25" customHeight="1">
      <c r="B6" s="940"/>
      <c r="C6" s="98" t="s">
        <v>3</v>
      </c>
      <c r="D6" s="594">
        <v>480.5</v>
      </c>
      <c r="E6" s="590">
        <v>578.66666666666663</v>
      </c>
      <c r="F6" s="594">
        <v>83.035714285714292</v>
      </c>
    </row>
    <row r="7" spans="2:6" ht="32.25" customHeight="1">
      <c r="B7" s="940"/>
      <c r="C7" s="257" t="s">
        <v>451</v>
      </c>
      <c r="D7" s="257" t="s">
        <v>449</v>
      </c>
      <c r="E7" s="258" t="s">
        <v>450</v>
      </c>
      <c r="F7" s="289" t="s">
        <v>270</v>
      </c>
    </row>
    <row r="8" spans="2:6" ht="20.25" customHeight="1">
      <c r="B8" s="940"/>
      <c r="C8" s="649" t="s">
        <v>1</v>
      </c>
      <c r="D8" s="593">
        <v>38.450268000000001</v>
      </c>
      <c r="E8" s="591">
        <v>45.848087999999997</v>
      </c>
      <c r="F8" s="88">
        <v>83.864496159578138</v>
      </c>
    </row>
    <row r="9" spans="2:6" ht="20.25" customHeight="1">
      <c r="B9" s="940"/>
      <c r="C9" s="66" t="s">
        <v>2</v>
      </c>
      <c r="D9" s="591">
        <v>1.148436</v>
      </c>
      <c r="E9" s="591">
        <v>0.74109599999999998</v>
      </c>
      <c r="F9" s="609">
        <v>154.96453900709218</v>
      </c>
    </row>
    <row r="10" spans="2:6" ht="20.25" customHeight="1">
      <c r="B10" s="940"/>
      <c r="C10" s="650" t="s">
        <v>3</v>
      </c>
      <c r="D10" s="598">
        <v>15.153048</v>
      </c>
      <c r="E10" s="598">
        <v>18.248832</v>
      </c>
      <c r="F10" s="604">
        <v>83.035714285714292</v>
      </c>
    </row>
    <row r="11" spans="2:6" ht="20.25" customHeight="1" thickBot="1">
      <c r="B11" s="941"/>
      <c r="C11" s="595" t="s">
        <v>295</v>
      </c>
      <c r="D11" s="574">
        <f>SUM(D8:D10)</f>
        <v>54.751751999999996</v>
      </c>
      <c r="E11" s="596"/>
      <c r="F11" s="597"/>
    </row>
    <row r="12" spans="2:6" ht="32.25" customHeight="1" thickTop="1">
      <c r="B12" s="255" t="s">
        <v>4</v>
      </c>
      <c r="C12" s="255" t="s">
        <v>451</v>
      </c>
      <c r="D12" s="255" t="s">
        <v>44</v>
      </c>
      <c r="E12" s="255" t="s">
        <v>246</v>
      </c>
      <c r="F12" s="290" t="s">
        <v>270</v>
      </c>
    </row>
    <row r="13" spans="2:6" ht="20.25" customHeight="1">
      <c r="B13" s="939" t="s">
        <v>459</v>
      </c>
      <c r="C13" s="556" t="s">
        <v>1</v>
      </c>
      <c r="D13" s="452">
        <f>'3'!P34</f>
        <v>845.16666666666663</v>
      </c>
      <c r="E13" s="590">
        <f>'3'!P35</f>
        <v>1453.8333333333333</v>
      </c>
      <c r="F13" s="452">
        <f>D13/E13*100</f>
        <v>58.13366960907944</v>
      </c>
    </row>
    <row r="14" spans="2:6" ht="20.25" customHeight="1">
      <c r="B14" s="940"/>
      <c r="C14" s="66" t="s">
        <v>2</v>
      </c>
      <c r="D14" s="590">
        <f>'3'!P14</f>
        <v>25.833333333333332</v>
      </c>
      <c r="E14" s="590">
        <f>'3'!P15</f>
        <v>23.5</v>
      </c>
      <c r="F14" s="590">
        <f t="shared" ref="F14:F15" si="0">D14/E14*100</f>
        <v>109.92907801418438</v>
      </c>
    </row>
    <row r="15" spans="2:6" ht="20.25" customHeight="1">
      <c r="B15" s="940"/>
      <c r="C15" s="98" t="s">
        <v>3</v>
      </c>
      <c r="D15" s="594">
        <f>'3'!P37</f>
        <v>419.58333333333331</v>
      </c>
      <c r="E15" s="590">
        <f>'3'!P38</f>
        <v>578.66666666666663</v>
      </c>
      <c r="F15" s="594">
        <f t="shared" si="0"/>
        <v>72.508640552995402</v>
      </c>
    </row>
    <row r="16" spans="2:6" ht="32.25" customHeight="1">
      <c r="B16" s="940"/>
      <c r="C16" s="257" t="s">
        <v>451</v>
      </c>
      <c r="D16" s="257" t="s">
        <v>449</v>
      </c>
      <c r="E16" s="258" t="s">
        <v>450</v>
      </c>
      <c r="F16" s="289" t="s">
        <v>270</v>
      </c>
    </row>
    <row r="17" spans="2:6" ht="20.25" customHeight="1">
      <c r="B17" s="940"/>
      <c r="C17" s="556" t="s">
        <v>1</v>
      </c>
      <c r="D17" s="593">
        <v>26.65</v>
      </c>
      <c r="E17" s="591">
        <f>'3'!Q35</f>
        <v>45.848087999999997</v>
      </c>
      <c r="F17" s="88">
        <f>D17/E17*100</f>
        <v>58.126742384546112</v>
      </c>
    </row>
    <row r="18" spans="2:6" ht="20.25" customHeight="1">
      <c r="B18" s="940"/>
      <c r="C18" s="66" t="s">
        <v>2</v>
      </c>
      <c r="D18" s="591">
        <v>0.81</v>
      </c>
      <c r="E18" s="591">
        <f>'3'!Q15</f>
        <v>0.74109599999999998</v>
      </c>
      <c r="F18" s="609">
        <f>D18/E18*100</f>
        <v>109.29758088020986</v>
      </c>
    </row>
    <row r="19" spans="2:6" ht="20.25" customHeight="1">
      <c r="B19" s="940"/>
      <c r="C19" s="557" t="s">
        <v>3</v>
      </c>
      <c r="D19" s="598">
        <v>13.23</v>
      </c>
      <c r="E19" s="598">
        <f>'3'!Q38</f>
        <v>18.248832</v>
      </c>
      <c r="F19" s="594">
        <v>72.510000000000005</v>
      </c>
    </row>
    <row r="20" spans="2:6" ht="20.25" customHeight="1" thickBot="1">
      <c r="B20" s="941"/>
      <c r="C20" s="595" t="s">
        <v>295</v>
      </c>
      <c r="D20" s="574">
        <f>SUM(D17:D19)</f>
        <v>40.69</v>
      </c>
      <c r="E20" s="596"/>
      <c r="F20" s="597"/>
    </row>
    <row r="21" spans="2:6" ht="6" customHeight="1" thickTop="1">
      <c r="B21" s="154"/>
      <c r="C21" s="155"/>
      <c r="D21" s="156"/>
      <c r="E21" s="157"/>
      <c r="F21" s="157"/>
    </row>
    <row r="22" spans="2:6" ht="15" customHeight="1">
      <c r="B22" s="942" t="s">
        <v>7</v>
      </c>
      <c r="C22" s="942"/>
      <c r="D22" s="942"/>
      <c r="E22" s="942"/>
      <c r="F22" s="942"/>
    </row>
    <row r="23" spans="2:6" ht="9.75" customHeight="1">
      <c r="B23" s="210"/>
      <c r="C23" s="210"/>
      <c r="D23" s="210"/>
      <c r="E23" s="210"/>
      <c r="F23" s="210"/>
    </row>
    <row r="24" spans="2:6" ht="9.75" customHeight="1"/>
    <row r="25" spans="2:6" ht="20.25" customHeight="1">
      <c r="B25" s="326" t="s">
        <v>287</v>
      </c>
      <c r="C25" s="326"/>
      <c r="D25" s="327"/>
      <c r="E25" s="327"/>
      <c r="F25" s="334">
        <v>21</v>
      </c>
    </row>
  </sheetData>
  <mergeCells count="5">
    <mergeCell ref="B13:B20"/>
    <mergeCell ref="B22:F22"/>
    <mergeCell ref="B4:B11"/>
    <mergeCell ref="B1:F1"/>
    <mergeCell ref="B2:F2"/>
  </mergeCells>
  <printOptions horizontalCentered="1"/>
  <pageMargins left="0.25" right="0.25" top="0.75" bottom="0.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S25"/>
  <sheetViews>
    <sheetView rightToLeft="1" view="pageBreakPreview" topLeftCell="A16" zoomScale="120" zoomScaleSheetLayoutView="120" workbookViewId="0">
      <selection activeCell="C21" sqref="C21"/>
    </sheetView>
  </sheetViews>
  <sheetFormatPr defaultColWidth="10.375" defaultRowHeight="14.25"/>
  <cols>
    <col min="1" max="1" width="12.625" customWidth="1"/>
    <col min="2" max="2" width="10.875" customWidth="1"/>
    <col min="3" max="3" width="10.375" customWidth="1"/>
    <col min="4" max="4" width="15.75" customWidth="1"/>
    <col min="5" max="5" width="15.875" customWidth="1"/>
    <col min="6" max="6" width="15.75" customWidth="1"/>
    <col min="7" max="7" width="13" customWidth="1"/>
    <col min="8" max="8" width="13.125" customWidth="1"/>
    <col min="9" max="9" width="14.375" customWidth="1"/>
    <col min="10" max="10" width="13.25" customWidth="1"/>
  </cols>
  <sheetData>
    <row r="1" spans="1:19" ht="23.25" customHeight="1">
      <c r="A1" s="1029" t="s">
        <v>466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2" spans="1:19" ht="23.25" customHeight="1" thickBot="1">
      <c r="A2" s="1030" t="s">
        <v>337</v>
      </c>
      <c r="B2" s="1030"/>
      <c r="C2" s="1030"/>
      <c r="D2" s="1030"/>
      <c r="E2" s="1030"/>
      <c r="F2" s="1030"/>
      <c r="G2" s="1030"/>
      <c r="H2" s="1030"/>
      <c r="I2" s="1030"/>
      <c r="J2" s="1030"/>
    </row>
    <row r="3" spans="1:19" ht="26.25" customHeight="1" thickTop="1">
      <c r="A3" s="984" t="s">
        <v>103</v>
      </c>
      <c r="B3" s="988" t="s">
        <v>332</v>
      </c>
      <c r="C3" s="988"/>
      <c r="D3" s="651" t="s">
        <v>377</v>
      </c>
      <c r="E3" s="651" t="s">
        <v>482</v>
      </c>
      <c r="F3" s="651" t="s">
        <v>483</v>
      </c>
      <c r="G3" s="989" t="s">
        <v>645</v>
      </c>
      <c r="H3" s="989"/>
      <c r="I3" s="989"/>
      <c r="J3" s="984" t="s">
        <v>333</v>
      </c>
    </row>
    <row r="4" spans="1:19" ht="26.25" customHeight="1">
      <c r="A4" s="992"/>
      <c r="B4" s="262" t="s">
        <v>376</v>
      </c>
      <c r="C4" s="373" t="s">
        <v>335</v>
      </c>
      <c r="D4" s="459" t="s">
        <v>378</v>
      </c>
      <c r="E4" s="459" t="s">
        <v>378</v>
      </c>
      <c r="F4" s="459" t="s">
        <v>378</v>
      </c>
      <c r="G4" s="373" t="s">
        <v>379</v>
      </c>
      <c r="H4" s="373" t="s">
        <v>380</v>
      </c>
      <c r="I4" s="373" t="s">
        <v>47</v>
      </c>
      <c r="J4" s="992"/>
    </row>
    <row r="5" spans="1:19" ht="23.25" customHeight="1">
      <c r="A5" s="336" t="s">
        <v>104</v>
      </c>
      <c r="B5" s="128">
        <v>33</v>
      </c>
      <c r="C5" s="347">
        <f>B5/239*100</f>
        <v>13.807531380753138</v>
      </c>
      <c r="D5" s="348">
        <v>1536870</v>
      </c>
      <c r="E5" s="348">
        <v>1536870</v>
      </c>
      <c r="F5" s="348">
        <v>1273552</v>
      </c>
      <c r="G5" s="348">
        <v>1309230</v>
      </c>
      <c r="H5" s="348">
        <v>28000</v>
      </c>
      <c r="I5" s="348">
        <f t="shared" ref="I5:I20" si="0">SUM(G5:H5)</f>
        <v>1337230</v>
      </c>
      <c r="J5" s="491">
        <f>F5/D5*100</f>
        <v>82.866605503393259</v>
      </c>
    </row>
    <row r="6" spans="1:19" s="345" customFormat="1" ht="23.25" customHeight="1">
      <c r="A6" s="336" t="s">
        <v>105</v>
      </c>
      <c r="B6" s="128">
        <v>3</v>
      </c>
      <c r="C6" s="347">
        <f t="shared" ref="C6:C21" si="1">B6/239*100</f>
        <v>1.2552301255230125</v>
      </c>
      <c r="D6" s="348">
        <v>447040</v>
      </c>
      <c r="E6" s="348">
        <v>312048</v>
      </c>
      <c r="F6" s="348">
        <v>312048</v>
      </c>
      <c r="G6" s="348">
        <v>315291</v>
      </c>
      <c r="H6" s="348">
        <v>270</v>
      </c>
      <c r="I6" s="348">
        <f t="shared" si="0"/>
        <v>315561</v>
      </c>
      <c r="J6" s="491">
        <f t="shared" ref="J6:J20" si="2">F6/D6*100</f>
        <v>69.803149606299215</v>
      </c>
      <c r="K6" s="341"/>
      <c r="L6" s="342"/>
      <c r="M6" s="342"/>
      <c r="N6" s="342"/>
      <c r="O6" s="342"/>
      <c r="P6" s="343"/>
      <c r="Q6" s="344"/>
      <c r="R6" s="344"/>
      <c r="S6" s="344"/>
    </row>
    <row r="7" spans="1:19" s="345" customFormat="1" ht="23.25" customHeight="1">
      <c r="A7" s="346" t="s">
        <v>106</v>
      </c>
      <c r="B7" s="128">
        <v>26</v>
      </c>
      <c r="C7" s="347">
        <f t="shared" si="1"/>
        <v>10.87866108786611</v>
      </c>
      <c r="D7" s="348">
        <v>443410</v>
      </c>
      <c r="E7" s="348">
        <v>302290</v>
      </c>
      <c r="F7" s="349">
        <v>350098</v>
      </c>
      <c r="G7" s="559">
        <v>353598</v>
      </c>
      <c r="H7" s="350">
        <v>0</v>
      </c>
      <c r="I7" s="350">
        <f t="shared" si="0"/>
        <v>353598</v>
      </c>
      <c r="J7" s="491">
        <f t="shared" si="2"/>
        <v>78.95581967028258</v>
      </c>
      <c r="K7" s="341"/>
      <c r="L7" s="351"/>
      <c r="M7" s="352"/>
      <c r="N7" s="353"/>
      <c r="O7" s="353"/>
      <c r="P7" s="354"/>
      <c r="Q7" s="354"/>
      <c r="R7" s="354"/>
    </row>
    <row r="8" spans="1:19" s="345" customFormat="1" ht="23.25" customHeight="1">
      <c r="A8" s="346" t="s">
        <v>448</v>
      </c>
      <c r="B8" s="128">
        <v>24</v>
      </c>
      <c r="C8" s="347">
        <f t="shared" si="1"/>
        <v>10.0418410041841</v>
      </c>
      <c r="D8" s="348">
        <v>22450</v>
      </c>
      <c r="E8" s="348">
        <v>16838</v>
      </c>
      <c r="F8" s="349">
        <v>14312</v>
      </c>
      <c r="G8" s="559">
        <v>26940</v>
      </c>
      <c r="H8" s="350">
        <v>0</v>
      </c>
      <c r="I8" s="350">
        <f t="shared" si="0"/>
        <v>26940</v>
      </c>
      <c r="J8" s="491">
        <f t="shared" si="2"/>
        <v>63.750556792873049</v>
      </c>
      <c r="K8" s="341"/>
      <c r="L8" s="351"/>
      <c r="M8" s="352"/>
      <c r="N8" s="353"/>
      <c r="O8" s="353"/>
      <c r="P8" s="354"/>
      <c r="Q8" s="354"/>
      <c r="R8" s="354"/>
    </row>
    <row r="9" spans="1:19" s="345" customFormat="1" ht="23.25" customHeight="1">
      <c r="A9" s="355" t="s">
        <v>117</v>
      </c>
      <c r="B9" s="128">
        <v>13</v>
      </c>
      <c r="C9" s="347">
        <f t="shared" si="1"/>
        <v>5.439330543933055</v>
      </c>
      <c r="D9" s="348">
        <v>4430500</v>
      </c>
      <c r="E9" s="348">
        <v>3900000</v>
      </c>
      <c r="F9" s="349">
        <v>3888000</v>
      </c>
      <c r="G9" s="350">
        <v>4000000</v>
      </c>
      <c r="H9" s="350">
        <v>0</v>
      </c>
      <c r="I9" s="350">
        <f t="shared" si="0"/>
        <v>4000000</v>
      </c>
      <c r="J9" s="491">
        <f t="shared" si="2"/>
        <v>87.755332355264642</v>
      </c>
      <c r="K9" s="341"/>
      <c r="L9" s="351"/>
      <c r="M9" s="352"/>
      <c r="N9" s="351"/>
      <c r="O9" s="351"/>
    </row>
    <row r="10" spans="1:19" s="345" customFormat="1" ht="23.25" customHeight="1">
      <c r="A10" s="355" t="s">
        <v>108</v>
      </c>
      <c r="B10" s="360">
        <v>12</v>
      </c>
      <c r="C10" s="347">
        <f t="shared" si="1"/>
        <v>5.02092050209205</v>
      </c>
      <c r="D10" s="348">
        <v>534000</v>
      </c>
      <c r="E10" s="348">
        <v>524000</v>
      </c>
      <c r="F10" s="349">
        <v>524000</v>
      </c>
      <c r="G10" s="350">
        <v>534000</v>
      </c>
      <c r="H10" s="350">
        <v>0</v>
      </c>
      <c r="I10" s="350">
        <f t="shared" si="0"/>
        <v>534000</v>
      </c>
      <c r="J10" s="491">
        <f t="shared" si="2"/>
        <v>98.12734082397003</v>
      </c>
      <c r="K10" s="341"/>
      <c r="L10" s="351"/>
      <c r="M10" s="352"/>
      <c r="N10" s="351"/>
      <c r="O10" s="351"/>
    </row>
    <row r="11" spans="1:19" s="345" customFormat="1" ht="23.25" customHeight="1">
      <c r="A11" s="355" t="s">
        <v>110</v>
      </c>
      <c r="B11" s="360">
        <v>18</v>
      </c>
      <c r="C11" s="347">
        <f t="shared" si="1"/>
        <v>7.5313807531380759</v>
      </c>
      <c r="D11" s="349">
        <v>310560</v>
      </c>
      <c r="E11" s="349">
        <v>295032</v>
      </c>
      <c r="F11" s="349">
        <v>263976</v>
      </c>
      <c r="G11" s="349">
        <v>341616</v>
      </c>
      <c r="H11" s="349">
        <v>0</v>
      </c>
      <c r="I11" s="350">
        <f t="shared" si="0"/>
        <v>341616</v>
      </c>
      <c r="J11" s="491">
        <f t="shared" si="2"/>
        <v>85</v>
      </c>
      <c r="K11" s="341"/>
      <c r="L11" s="351"/>
      <c r="M11" s="352"/>
      <c r="N11" s="351"/>
      <c r="O11" s="351"/>
    </row>
    <row r="12" spans="1:19" s="345" customFormat="1" ht="23.25" customHeight="1">
      <c r="A12" s="355" t="s">
        <v>102</v>
      </c>
      <c r="B12" s="356">
        <v>7</v>
      </c>
      <c r="C12" s="347">
        <f t="shared" si="1"/>
        <v>2.9288702928870292</v>
      </c>
      <c r="D12" s="349">
        <v>563200</v>
      </c>
      <c r="E12" s="348">
        <v>506880</v>
      </c>
      <c r="F12" s="349">
        <v>478720</v>
      </c>
      <c r="G12" s="357">
        <v>619520</v>
      </c>
      <c r="H12" s="357">
        <v>0</v>
      </c>
      <c r="I12" s="357">
        <f t="shared" si="0"/>
        <v>619520</v>
      </c>
      <c r="J12" s="491">
        <f t="shared" si="2"/>
        <v>85</v>
      </c>
      <c r="K12" s="341"/>
      <c r="L12" s="351"/>
      <c r="M12" s="352"/>
      <c r="N12" s="351"/>
      <c r="O12" s="351"/>
    </row>
    <row r="13" spans="1:19" s="358" customFormat="1" ht="23.25" customHeight="1">
      <c r="A13" s="355" t="s">
        <v>109</v>
      </c>
      <c r="B13" s="128">
        <v>24</v>
      </c>
      <c r="C13" s="347">
        <f t="shared" si="1"/>
        <v>10.0418410041841</v>
      </c>
      <c r="D13" s="348">
        <v>418080</v>
      </c>
      <c r="E13" s="348">
        <v>339900</v>
      </c>
      <c r="F13" s="349">
        <v>339900</v>
      </c>
      <c r="G13" s="350">
        <v>399882</v>
      </c>
      <c r="H13" s="350">
        <v>0</v>
      </c>
      <c r="I13" s="350">
        <f t="shared" si="0"/>
        <v>399882</v>
      </c>
      <c r="J13" s="491">
        <f t="shared" si="2"/>
        <v>81.300229621125141</v>
      </c>
      <c r="K13" s="1028"/>
      <c r="L13" s="1028"/>
      <c r="M13" s="1028"/>
      <c r="N13" s="1028"/>
      <c r="O13" s="1028"/>
      <c r="P13" s="1028"/>
      <c r="Q13" s="1028"/>
      <c r="R13" s="1028"/>
    </row>
    <row r="14" spans="1:19" s="358" customFormat="1" ht="23.25" customHeight="1">
      <c r="A14" s="359" t="s">
        <v>107</v>
      </c>
      <c r="B14" s="360">
        <v>20</v>
      </c>
      <c r="C14" s="347">
        <f t="shared" si="1"/>
        <v>8.3682008368200833</v>
      </c>
      <c r="D14" s="348">
        <v>402340</v>
      </c>
      <c r="E14" s="348">
        <v>263692</v>
      </c>
      <c r="F14" s="349">
        <v>239720</v>
      </c>
      <c r="G14" s="361">
        <v>431496</v>
      </c>
      <c r="H14" s="361">
        <v>40860</v>
      </c>
      <c r="I14" s="361">
        <f t="shared" si="0"/>
        <v>472356</v>
      </c>
      <c r="J14" s="491">
        <f t="shared" si="2"/>
        <v>59.58144852612218</v>
      </c>
      <c r="K14" s="341"/>
      <c r="L14" s="351"/>
      <c r="M14" s="352"/>
      <c r="N14" s="351"/>
      <c r="O14" s="351"/>
    </row>
    <row r="15" spans="1:19" s="358" customFormat="1" ht="23.25" customHeight="1">
      <c r="A15" s="359" t="s">
        <v>111</v>
      </c>
      <c r="B15" s="360">
        <v>7</v>
      </c>
      <c r="C15" s="347">
        <f t="shared" si="1"/>
        <v>2.9288702928870292</v>
      </c>
      <c r="D15" s="348">
        <v>441000</v>
      </c>
      <c r="E15" s="348">
        <v>437000</v>
      </c>
      <c r="F15" s="349">
        <v>437000</v>
      </c>
      <c r="G15" s="361">
        <v>467000</v>
      </c>
      <c r="H15" s="361">
        <v>0</v>
      </c>
      <c r="I15" s="361">
        <f t="shared" si="0"/>
        <v>467000</v>
      </c>
      <c r="J15" s="491">
        <f t="shared" si="2"/>
        <v>99.092970521541943</v>
      </c>
      <c r="K15" s="341"/>
      <c r="L15" s="351"/>
      <c r="M15" s="352"/>
      <c r="N15" s="351"/>
      <c r="O15" s="351"/>
    </row>
    <row r="16" spans="1:19" s="358" customFormat="1" ht="23.25" customHeight="1">
      <c r="A16" s="359" t="s">
        <v>112</v>
      </c>
      <c r="B16" s="360">
        <v>17</v>
      </c>
      <c r="C16" s="347">
        <f t="shared" si="1"/>
        <v>7.1129707112970717</v>
      </c>
      <c r="D16" s="348">
        <v>379500</v>
      </c>
      <c r="E16" s="348">
        <v>300000</v>
      </c>
      <c r="F16" s="349">
        <v>298000</v>
      </c>
      <c r="G16" s="361">
        <v>455400</v>
      </c>
      <c r="H16" s="361">
        <v>0</v>
      </c>
      <c r="I16" s="361">
        <f t="shared" si="0"/>
        <v>455400</v>
      </c>
      <c r="J16" s="491">
        <f t="shared" si="2"/>
        <v>78.524374176548079</v>
      </c>
      <c r="K16" s="341"/>
      <c r="L16" s="351"/>
      <c r="M16" s="352"/>
      <c r="N16" s="351"/>
      <c r="O16" s="351"/>
    </row>
    <row r="17" spans="1:15" s="358" customFormat="1" ht="23.25" customHeight="1">
      <c r="A17" s="359" t="s">
        <v>113</v>
      </c>
      <c r="B17" s="360">
        <v>5</v>
      </c>
      <c r="C17" s="347">
        <f t="shared" si="1"/>
        <v>2.0920502092050208</v>
      </c>
      <c r="D17" s="348">
        <v>181600</v>
      </c>
      <c r="E17" s="348">
        <v>148200</v>
      </c>
      <c r="F17" s="349">
        <v>144200</v>
      </c>
      <c r="G17" s="361">
        <v>191000</v>
      </c>
      <c r="H17" s="361">
        <v>1450</v>
      </c>
      <c r="I17" s="361">
        <f t="shared" si="0"/>
        <v>192450</v>
      </c>
      <c r="J17" s="491">
        <f t="shared" si="2"/>
        <v>79.405286343612332</v>
      </c>
      <c r="K17" s="341"/>
      <c r="L17" s="351"/>
      <c r="M17" s="352"/>
      <c r="N17" s="351"/>
      <c r="O17" s="351"/>
    </row>
    <row r="18" spans="1:15" s="358" customFormat="1" ht="23.25" customHeight="1">
      <c r="A18" s="359" t="s">
        <v>114</v>
      </c>
      <c r="B18" s="360">
        <v>6</v>
      </c>
      <c r="C18" s="347">
        <f t="shared" si="1"/>
        <v>2.510460251046025</v>
      </c>
      <c r="D18" s="348">
        <v>443200</v>
      </c>
      <c r="E18" s="348">
        <v>352400</v>
      </c>
      <c r="F18" s="349">
        <v>282100</v>
      </c>
      <c r="G18" s="361">
        <v>335400</v>
      </c>
      <c r="H18" s="361">
        <v>0</v>
      </c>
      <c r="I18" s="361">
        <f t="shared" si="0"/>
        <v>335400</v>
      </c>
      <c r="J18" s="491">
        <f t="shared" si="2"/>
        <v>63.650722021660656</v>
      </c>
      <c r="K18" s="341"/>
      <c r="L18" s="351"/>
      <c r="M18" s="352"/>
      <c r="N18" s="351"/>
      <c r="O18" s="351"/>
    </row>
    <row r="19" spans="1:15" s="358" customFormat="1" ht="23.25" customHeight="1">
      <c r="A19" s="359" t="s">
        <v>115</v>
      </c>
      <c r="B19" s="360">
        <v>15</v>
      </c>
      <c r="C19" s="347">
        <f t="shared" si="1"/>
        <v>6.2761506276150625</v>
      </c>
      <c r="D19" s="348">
        <v>147400</v>
      </c>
      <c r="E19" s="348">
        <v>132660</v>
      </c>
      <c r="F19" s="349">
        <v>117920</v>
      </c>
      <c r="G19" s="361">
        <v>165825</v>
      </c>
      <c r="H19" s="361">
        <v>0</v>
      </c>
      <c r="I19" s="361">
        <f t="shared" si="0"/>
        <v>165825</v>
      </c>
      <c r="J19" s="491">
        <f t="shared" si="2"/>
        <v>80</v>
      </c>
      <c r="K19" s="341"/>
      <c r="L19" s="351"/>
      <c r="M19" s="352"/>
      <c r="N19" s="351"/>
      <c r="O19" s="351"/>
    </row>
    <row r="20" spans="1:15" s="358" customFormat="1" ht="23.25" customHeight="1" thickBot="1">
      <c r="A20" s="362" t="s">
        <v>116</v>
      </c>
      <c r="B20" s="729">
        <v>9</v>
      </c>
      <c r="C20" s="347">
        <f t="shared" si="1"/>
        <v>3.7656903765690379</v>
      </c>
      <c r="D20" s="363">
        <v>295200</v>
      </c>
      <c r="E20" s="363">
        <v>276750</v>
      </c>
      <c r="F20" s="363">
        <v>239437</v>
      </c>
      <c r="G20" s="357">
        <v>339480</v>
      </c>
      <c r="H20" s="357">
        <v>0</v>
      </c>
      <c r="I20" s="357">
        <f t="shared" si="0"/>
        <v>339480</v>
      </c>
      <c r="J20" s="491">
        <f t="shared" si="2"/>
        <v>81.110094850948514</v>
      </c>
      <c r="K20" s="341"/>
      <c r="L20" s="364"/>
      <c r="M20" s="352"/>
      <c r="N20" s="351"/>
      <c r="O20" s="351"/>
    </row>
    <row r="21" spans="1:15" s="345" customFormat="1" ht="23.25" customHeight="1" thickTop="1" thickBot="1">
      <c r="A21" s="374" t="s">
        <v>410</v>
      </c>
      <c r="B21" s="375">
        <f>SUM(B5:B20)</f>
        <v>239</v>
      </c>
      <c r="C21" s="388">
        <f t="shared" si="1"/>
        <v>100</v>
      </c>
      <c r="D21" s="376">
        <f t="shared" ref="D21:I21" si="3">SUM(D5:D20)</f>
        <v>10996350</v>
      </c>
      <c r="E21" s="376">
        <f t="shared" si="3"/>
        <v>9644560</v>
      </c>
      <c r="F21" s="376">
        <f t="shared" si="3"/>
        <v>9202983</v>
      </c>
      <c r="G21" s="376">
        <f t="shared" si="3"/>
        <v>10285678</v>
      </c>
      <c r="H21" s="376">
        <f t="shared" si="3"/>
        <v>70580</v>
      </c>
      <c r="I21" s="376">
        <f t="shared" si="3"/>
        <v>10356258</v>
      </c>
      <c r="J21" s="388">
        <f>F21/D21*100</f>
        <v>83.691252097286821</v>
      </c>
      <c r="K21" s="367"/>
      <c r="L21" s="364"/>
      <c r="M21" s="352"/>
      <c r="N21" s="351"/>
      <c r="O21" s="351"/>
    </row>
    <row r="22" spans="1:15" s="345" customFormat="1" ht="18.7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 s="540"/>
      <c r="I22" s="540"/>
      <c r="J22" s="634"/>
      <c r="K22" s="367"/>
      <c r="L22" s="364"/>
      <c r="M22" s="352"/>
      <c r="N22" s="351"/>
      <c r="O22" s="351"/>
    </row>
    <row r="23" spans="1:15" s="345" customFormat="1" ht="18.75" customHeight="1">
      <c r="A23" s="961" t="s">
        <v>432</v>
      </c>
      <c r="B23" s="961"/>
      <c r="C23" s="961"/>
      <c r="D23" s="961"/>
      <c r="E23" s="961"/>
      <c r="F23" s="961"/>
      <c r="G23" s="961"/>
      <c r="H23" s="369"/>
      <c r="I23" s="369"/>
      <c r="J23" s="371"/>
      <c r="K23" s="364"/>
      <c r="L23" s="364"/>
      <c r="M23" s="352"/>
      <c r="N23" s="351"/>
      <c r="O23" s="351"/>
    </row>
    <row r="24" spans="1:15" s="345" customFormat="1" ht="15" customHeight="1" thickBot="1">
      <c r="A24" s="1031"/>
      <c r="B24" s="1031"/>
      <c r="C24" s="1031"/>
      <c r="D24" s="1031"/>
      <c r="E24" s="1031"/>
      <c r="F24" s="1031"/>
      <c r="G24" s="1031"/>
      <c r="H24" s="369"/>
      <c r="I24" s="369"/>
      <c r="J24" s="371"/>
      <c r="K24" s="364"/>
      <c r="L24" s="364"/>
      <c r="M24" s="352"/>
      <c r="N24" s="351"/>
      <c r="O24" s="351"/>
    </row>
    <row r="25" spans="1:15" ht="18.75" customHeight="1">
      <c r="A25" s="1027" t="s">
        <v>336</v>
      </c>
      <c r="B25" s="1027"/>
      <c r="C25" s="1027"/>
      <c r="D25" s="1027"/>
      <c r="E25" s="372"/>
      <c r="F25" s="372"/>
      <c r="G25" s="372"/>
      <c r="H25" s="372"/>
      <c r="I25" s="372"/>
      <c r="J25" s="466">
        <v>33</v>
      </c>
      <c r="K25" s="18"/>
      <c r="L25" s="18"/>
      <c r="M25" s="18"/>
      <c r="N25" s="18"/>
      <c r="O25" s="18"/>
    </row>
  </sheetData>
  <mergeCells count="11">
    <mergeCell ref="G3:I3"/>
    <mergeCell ref="A25:D25"/>
    <mergeCell ref="K13:R13"/>
    <mergeCell ref="A1:J1"/>
    <mergeCell ref="A2:J2"/>
    <mergeCell ref="A3:A4"/>
    <mergeCell ref="B3:C3"/>
    <mergeCell ref="J3:J4"/>
    <mergeCell ref="A23:G23"/>
    <mergeCell ref="A24:G24"/>
    <mergeCell ref="A22:G22"/>
  </mergeCells>
  <printOptions horizontalCentered="1"/>
  <pageMargins left="0.31496062992125984" right="0.31496062992125984" top="0.51181102362204722" bottom="0.51181102362204722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R26"/>
  <sheetViews>
    <sheetView rightToLeft="1" view="pageBreakPreview" topLeftCell="A10" zoomScale="110" zoomScaleSheetLayoutView="110" workbookViewId="0">
      <selection activeCell="D27" sqref="D27"/>
    </sheetView>
  </sheetViews>
  <sheetFormatPr defaultColWidth="10.375" defaultRowHeight="14.25"/>
  <cols>
    <col min="1" max="1" width="11.875" customWidth="1"/>
    <col min="2" max="2" width="10.125" customWidth="1"/>
    <col min="3" max="3" width="9.25" customWidth="1"/>
    <col min="4" max="4" width="13.875" customWidth="1"/>
    <col min="5" max="5" width="14.625" customWidth="1"/>
    <col min="6" max="6" width="13.75" customWidth="1"/>
    <col min="7" max="7" width="13.25" customWidth="1"/>
    <col min="8" max="8" width="13.875" customWidth="1"/>
    <col min="9" max="9" width="15.75" customWidth="1"/>
    <col min="10" max="10" width="14.375" customWidth="1"/>
  </cols>
  <sheetData>
    <row r="1" spans="1:18" ht="22.5" customHeight="1">
      <c r="A1" s="1029" t="s">
        <v>467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2" spans="1:18" ht="22.5" customHeight="1" thickBot="1">
      <c r="A2" s="1030" t="s">
        <v>341</v>
      </c>
      <c r="B2" s="1030"/>
      <c r="C2" s="1030"/>
      <c r="D2" s="1030"/>
      <c r="E2" s="1030"/>
      <c r="F2" s="1030"/>
      <c r="G2" s="1030"/>
      <c r="H2" s="1030"/>
      <c r="I2" s="1030"/>
      <c r="J2" s="1030"/>
    </row>
    <row r="3" spans="1:18" ht="29.25" customHeight="1" thickTop="1">
      <c r="A3" s="984" t="s">
        <v>103</v>
      </c>
      <c r="B3" s="989" t="s">
        <v>338</v>
      </c>
      <c r="C3" s="989"/>
      <c r="D3" s="651" t="s">
        <v>377</v>
      </c>
      <c r="E3" s="651" t="s">
        <v>482</v>
      </c>
      <c r="F3" s="651" t="s">
        <v>483</v>
      </c>
      <c r="G3" s="989" t="s">
        <v>645</v>
      </c>
      <c r="H3" s="989"/>
      <c r="I3" s="989"/>
      <c r="J3" s="984" t="s">
        <v>333</v>
      </c>
    </row>
    <row r="4" spans="1:18" ht="25.5" customHeight="1">
      <c r="A4" s="992"/>
      <c r="B4" s="380" t="s">
        <v>376</v>
      </c>
      <c r="C4" s="380" t="s">
        <v>335</v>
      </c>
      <c r="D4" s="459" t="s">
        <v>378</v>
      </c>
      <c r="E4" s="459" t="s">
        <v>378</v>
      </c>
      <c r="F4" s="459" t="s">
        <v>378</v>
      </c>
      <c r="G4" s="373" t="s">
        <v>379</v>
      </c>
      <c r="H4" s="373" t="s">
        <v>380</v>
      </c>
      <c r="I4" s="373" t="s">
        <v>47</v>
      </c>
      <c r="J4" s="992"/>
    </row>
    <row r="5" spans="1:18" ht="22.5" customHeight="1">
      <c r="A5" s="336" t="s">
        <v>104</v>
      </c>
      <c r="B5" s="361">
        <v>88</v>
      </c>
      <c r="C5" s="337">
        <f>B5/3385*100</f>
        <v>2.5997045790251105</v>
      </c>
      <c r="D5" s="348">
        <v>150000</v>
      </c>
      <c r="E5" s="348">
        <v>68150</v>
      </c>
      <c r="F5" s="349">
        <v>68150</v>
      </c>
      <c r="G5" s="559">
        <v>71558</v>
      </c>
      <c r="H5" s="350">
        <v>0</v>
      </c>
      <c r="I5" s="350">
        <f t="shared" ref="I5:I21" si="0">SUM(G5:H5)</f>
        <v>71558</v>
      </c>
      <c r="J5" s="627">
        <f>F5/D5*100</f>
        <v>45.43333333333333</v>
      </c>
    </row>
    <row r="6" spans="1:18" s="345" customFormat="1" ht="22.5" customHeight="1">
      <c r="A6" s="336" t="s">
        <v>105</v>
      </c>
      <c r="B6" s="340">
        <v>12</v>
      </c>
      <c r="C6" s="337">
        <f t="shared" ref="C6:C21" si="1">B6/3385*100</f>
        <v>0.3545051698670606</v>
      </c>
      <c r="D6" s="338">
        <v>39080</v>
      </c>
      <c r="E6" s="338">
        <v>20878</v>
      </c>
      <c r="F6" s="339">
        <v>20878</v>
      </c>
      <c r="G6" s="340">
        <v>21504</v>
      </c>
      <c r="H6" s="340">
        <v>0</v>
      </c>
      <c r="I6" s="340">
        <f t="shared" si="0"/>
        <v>21504</v>
      </c>
      <c r="J6" s="627">
        <f t="shared" ref="J6:J21" si="2">F6/D6*100</f>
        <v>53.423746161719556</v>
      </c>
      <c r="K6" s="342"/>
      <c r="L6" s="342"/>
      <c r="M6" s="342"/>
      <c r="N6" s="342"/>
      <c r="O6" s="343"/>
      <c r="P6" s="344"/>
      <c r="Q6" s="344"/>
      <c r="R6" s="344"/>
    </row>
    <row r="7" spans="1:18" s="345" customFormat="1" ht="22.5" customHeight="1">
      <c r="A7" s="346" t="s">
        <v>106</v>
      </c>
      <c r="B7" s="350">
        <v>176</v>
      </c>
      <c r="C7" s="337">
        <f t="shared" si="1"/>
        <v>5.1994091580502211</v>
      </c>
      <c r="D7" s="348">
        <v>334000</v>
      </c>
      <c r="E7" s="348">
        <v>300600</v>
      </c>
      <c r="F7" s="349">
        <v>300600</v>
      </c>
      <c r="G7" s="559">
        <v>360720</v>
      </c>
      <c r="H7" s="350">
        <v>0</v>
      </c>
      <c r="I7" s="350">
        <f t="shared" si="0"/>
        <v>360720</v>
      </c>
      <c r="J7" s="627">
        <f t="shared" si="2"/>
        <v>90</v>
      </c>
      <c r="K7" s="351"/>
      <c r="L7" s="352"/>
      <c r="M7" s="353"/>
      <c r="N7" s="353"/>
      <c r="O7" s="354"/>
      <c r="P7" s="354"/>
      <c r="Q7" s="354"/>
    </row>
    <row r="8" spans="1:18" s="345" customFormat="1" ht="22.5" customHeight="1">
      <c r="A8" s="346" t="s">
        <v>448</v>
      </c>
      <c r="B8" s="361">
        <v>367</v>
      </c>
      <c r="C8" s="337">
        <f t="shared" si="1"/>
        <v>10.84194977843427</v>
      </c>
      <c r="D8" s="348">
        <v>63487</v>
      </c>
      <c r="E8" s="348">
        <v>50540</v>
      </c>
      <c r="F8" s="349">
        <v>37905</v>
      </c>
      <c r="G8" s="559">
        <v>75810</v>
      </c>
      <c r="H8" s="350">
        <v>0</v>
      </c>
      <c r="I8" s="350">
        <f t="shared" si="0"/>
        <v>75810</v>
      </c>
      <c r="J8" s="627">
        <f t="shared" si="2"/>
        <v>59.70513648463465</v>
      </c>
      <c r="K8" s="351"/>
      <c r="L8" s="352"/>
      <c r="M8" s="353"/>
      <c r="N8" s="353"/>
      <c r="O8" s="354"/>
      <c r="P8" s="354"/>
      <c r="Q8" s="354"/>
    </row>
    <row r="9" spans="1:18" s="345" customFormat="1" ht="22.5" customHeight="1">
      <c r="A9" s="355" t="s">
        <v>117</v>
      </c>
      <c r="B9" s="350">
        <v>104</v>
      </c>
      <c r="C9" s="337">
        <f t="shared" si="1"/>
        <v>3.0723781388478582</v>
      </c>
      <c r="D9" s="348">
        <v>286200</v>
      </c>
      <c r="E9" s="348">
        <v>230000</v>
      </c>
      <c r="F9" s="349">
        <v>199612</v>
      </c>
      <c r="G9" s="350">
        <v>250000</v>
      </c>
      <c r="H9" s="350">
        <v>0</v>
      </c>
      <c r="I9" s="350">
        <f t="shared" si="0"/>
        <v>250000</v>
      </c>
      <c r="J9" s="627">
        <f t="shared" si="2"/>
        <v>69.745632424877712</v>
      </c>
      <c r="K9" s="351"/>
      <c r="L9" s="352"/>
      <c r="M9" s="351"/>
      <c r="N9" s="351"/>
    </row>
    <row r="10" spans="1:18" s="345" customFormat="1" ht="22.5" customHeight="1">
      <c r="A10" s="355" t="s">
        <v>108</v>
      </c>
      <c r="B10" s="361">
        <v>200</v>
      </c>
      <c r="C10" s="337">
        <f t="shared" si="1"/>
        <v>5.9084194977843421</v>
      </c>
      <c r="D10" s="348">
        <v>792722</v>
      </c>
      <c r="E10" s="348">
        <v>311183</v>
      </c>
      <c r="F10" s="349">
        <v>282894</v>
      </c>
      <c r="G10" s="350">
        <v>311183</v>
      </c>
      <c r="H10" s="350">
        <v>0</v>
      </c>
      <c r="I10" s="350">
        <f t="shared" si="0"/>
        <v>311183</v>
      </c>
      <c r="J10" s="627">
        <f t="shared" si="2"/>
        <v>35.686407088487513</v>
      </c>
      <c r="K10" s="351"/>
      <c r="L10" s="352"/>
      <c r="M10" s="351"/>
      <c r="N10" s="351"/>
    </row>
    <row r="11" spans="1:18" s="345" customFormat="1" ht="22.5" customHeight="1">
      <c r="A11" s="355" t="s">
        <v>110</v>
      </c>
      <c r="B11" s="361">
        <v>346</v>
      </c>
      <c r="C11" s="337">
        <f t="shared" si="1"/>
        <v>10.221565731166912</v>
      </c>
      <c r="D11" s="348">
        <v>453924</v>
      </c>
      <c r="E11" s="348">
        <v>436227</v>
      </c>
      <c r="F11" s="348">
        <v>385835</v>
      </c>
      <c r="G11" s="348">
        <v>499316</v>
      </c>
      <c r="H11" s="348">
        <v>0</v>
      </c>
      <c r="I11" s="350">
        <f t="shared" si="0"/>
        <v>499316</v>
      </c>
      <c r="J11" s="627">
        <f t="shared" si="2"/>
        <v>84.99991187952169</v>
      </c>
      <c r="K11" s="351"/>
      <c r="L11" s="352"/>
      <c r="M11" s="351"/>
      <c r="N11" s="351"/>
    </row>
    <row r="12" spans="1:18" s="345" customFormat="1" ht="22.5" customHeight="1">
      <c r="A12" s="355" t="s">
        <v>102</v>
      </c>
      <c r="B12" s="350">
        <v>106</v>
      </c>
      <c r="C12" s="337">
        <f t="shared" si="1"/>
        <v>3.1314623338257022</v>
      </c>
      <c r="D12" s="494">
        <v>108288</v>
      </c>
      <c r="E12" s="348">
        <v>97459</v>
      </c>
      <c r="F12" s="349">
        <v>92044</v>
      </c>
      <c r="G12" s="350">
        <v>119116</v>
      </c>
      <c r="H12" s="350">
        <v>0</v>
      </c>
      <c r="I12" s="357">
        <f t="shared" si="0"/>
        <v>119116</v>
      </c>
      <c r="J12" s="627">
        <f t="shared" si="2"/>
        <v>84.999261229314413</v>
      </c>
      <c r="K12" s="351"/>
      <c r="L12" s="352"/>
      <c r="M12" s="351"/>
      <c r="N12" s="351"/>
    </row>
    <row r="13" spans="1:18" s="358" customFormat="1" ht="22.5" customHeight="1">
      <c r="A13" s="355" t="s">
        <v>109</v>
      </c>
      <c r="B13" s="379">
        <v>275</v>
      </c>
      <c r="C13" s="337">
        <f t="shared" si="1"/>
        <v>8.1240768094534719</v>
      </c>
      <c r="D13" s="348">
        <v>401435</v>
      </c>
      <c r="E13" s="348">
        <v>334529</v>
      </c>
      <c r="F13" s="349">
        <v>334529</v>
      </c>
      <c r="G13" s="357">
        <v>367982</v>
      </c>
      <c r="H13" s="357">
        <v>0</v>
      </c>
      <c r="I13" s="350">
        <f t="shared" si="0"/>
        <v>367982</v>
      </c>
      <c r="J13" s="627">
        <f t="shared" si="2"/>
        <v>83.333291815611503</v>
      </c>
      <c r="K13" s="351"/>
      <c r="L13" s="352"/>
      <c r="M13" s="351"/>
      <c r="N13" s="351"/>
    </row>
    <row r="14" spans="1:18" s="358" customFormat="1" ht="22.5" customHeight="1">
      <c r="A14" s="359" t="s">
        <v>107</v>
      </c>
      <c r="B14" s="350">
        <v>261</v>
      </c>
      <c r="C14" s="337">
        <f t="shared" si="1"/>
        <v>7.7104874446085674</v>
      </c>
      <c r="D14" s="348">
        <v>572580</v>
      </c>
      <c r="E14" s="348">
        <v>283602</v>
      </c>
      <c r="F14" s="349">
        <v>257820</v>
      </c>
      <c r="G14" s="350">
        <v>464076</v>
      </c>
      <c r="H14" s="350">
        <v>17438</v>
      </c>
      <c r="I14" s="361">
        <f t="shared" si="0"/>
        <v>481514</v>
      </c>
      <c r="J14" s="627">
        <f t="shared" si="2"/>
        <v>45.027769045373574</v>
      </c>
      <c r="K14" s="351"/>
      <c r="L14" s="352"/>
      <c r="M14" s="351"/>
      <c r="N14" s="351"/>
    </row>
    <row r="15" spans="1:18" s="358" customFormat="1" ht="22.5" customHeight="1">
      <c r="A15" s="359" t="s">
        <v>111</v>
      </c>
      <c r="B15" s="361">
        <v>118</v>
      </c>
      <c r="C15" s="337">
        <f t="shared" si="1"/>
        <v>3.4859675036927622</v>
      </c>
      <c r="D15" s="348">
        <v>427000</v>
      </c>
      <c r="E15" s="348">
        <v>341600</v>
      </c>
      <c r="F15" s="349">
        <v>327000</v>
      </c>
      <c r="G15" s="361">
        <v>359000</v>
      </c>
      <c r="H15" s="361">
        <v>0</v>
      </c>
      <c r="I15" s="361">
        <f t="shared" si="0"/>
        <v>359000</v>
      </c>
      <c r="J15" s="627">
        <f t="shared" si="2"/>
        <v>76.580796252927399</v>
      </c>
      <c r="K15" s="351"/>
      <c r="L15" s="352"/>
      <c r="M15" s="351"/>
      <c r="N15" s="351"/>
    </row>
    <row r="16" spans="1:18" s="358" customFormat="1" ht="22.5" customHeight="1">
      <c r="A16" s="359" t="s">
        <v>112</v>
      </c>
      <c r="B16" s="361">
        <v>310</v>
      </c>
      <c r="C16" s="337">
        <f t="shared" si="1"/>
        <v>9.1580502215657305</v>
      </c>
      <c r="D16" s="348">
        <v>185136</v>
      </c>
      <c r="E16" s="348">
        <v>151496</v>
      </c>
      <c r="F16" s="349">
        <v>141089</v>
      </c>
      <c r="G16" s="361">
        <v>222163</v>
      </c>
      <c r="H16" s="361">
        <v>0</v>
      </c>
      <c r="I16" s="361">
        <f t="shared" si="0"/>
        <v>222163</v>
      </c>
      <c r="J16" s="627">
        <f t="shared" si="2"/>
        <v>76.208300924725606</v>
      </c>
      <c r="K16" s="351"/>
      <c r="L16" s="352"/>
      <c r="M16" s="351"/>
      <c r="N16" s="351"/>
    </row>
    <row r="17" spans="1:14" s="358" customFormat="1" ht="22.5" customHeight="1">
      <c r="A17" s="359" t="s">
        <v>113</v>
      </c>
      <c r="B17" s="361">
        <v>108</v>
      </c>
      <c r="C17" s="337">
        <f t="shared" si="1"/>
        <v>3.1905465288035453</v>
      </c>
      <c r="D17" s="348">
        <v>112080</v>
      </c>
      <c r="E17" s="348">
        <v>105776</v>
      </c>
      <c r="F17" s="349">
        <v>93310</v>
      </c>
      <c r="G17" s="361">
        <v>123380</v>
      </c>
      <c r="H17" s="361">
        <v>0</v>
      </c>
      <c r="I17" s="361">
        <f t="shared" si="0"/>
        <v>123380</v>
      </c>
      <c r="J17" s="627">
        <f t="shared" si="2"/>
        <v>83.253033547466089</v>
      </c>
      <c r="K17" s="351"/>
      <c r="L17" s="352"/>
      <c r="M17" s="351"/>
      <c r="N17" s="351"/>
    </row>
    <row r="18" spans="1:14" s="358" customFormat="1" ht="22.5" customHeight="1">
      <c r="A18" s="359" t="s">
        <v>114</v>
      </c>
      <c r="B18" s="361">
        <v>226</v>
      </c>
      <c r="C18" s="337">
        <f t="shared" si="1"/>
        <v>6.676514032496307</v>
      </c>
      <c r="D18" s="348">
        <v>634560</v>
      </c>
      <c r="E18" s="348">
        <v>507648</v>
      </c>
      <c r="F18" s="349">
        <v>337808</v>
      </c>
      <c r="G18" s="361">
        <v>337858</v>
      </c>
      <c r="H18" s="361">
        <v>0</v>
      </c>
      <c r="I18" s="361">
        <f t="shared" si="0"/>
        <v>337858</v>
      </c>
      <c r="J18" s="627">
        <f t="shared" si="2"/>
        <v>53.234997478567827</v>
      </c>
      <c r="K18" s="351"/>
      <c r="L18" s="352"/>
      <c r="M18" s="351"/>
      <c r="N18" s="351"/>
    </row>
    <row r="19" spans="1:14" s="358" customFormat="1" ht="22.5" customHeight="1">
      <c r="A19" s="359" t="s">
        <v>115</v>
      </c>
      <c r="B19" s="361">
        <v>349</v>
      </c>
      <c r="C19" s="337">
        <f t="shared" si="1"/>
        <v>10.310192023633679</v>
      </c>
      <c r="D19" s="348">
        <v>590000</v>
      </c>
      <c r="E19" s="348">
        <v>531000</v>
      </c>
      <c r="F19" s="349">
        <v>312960</v>
      </c>
      <c r="G19" s="361">
        <v>352080</v>
      </c>
      <c r="H19" s="361">
        <v>0</v>
      </c>
      <c r="I19" s="361">
        <f t="shared" si="0"/>
        <v>352080</v>
      </c>
      <c r="J19" s="627">
        <f t="shared" si="2"/>
        <v>53.044067796610172</v>
      </c>
      <c r="K19" s="351"/>
      <c r="L19" s="352"/>
      <c r="M19" s="351"/>
      <c r="N19" s="351"/>
    </row>
    <row r="20" spans="1:14" s="358" customFormat="1" ht="22.5" customHeight="1" thickBot="1">
      <c r="A20" s="362" t="s">
        <v>116</v>
      </c>
      <c r="B20" s="357">
        <v>339</v>
      </c>
      <c r="C20" s="337">
        <f t="shared" si="1"/>
        <v>10.014771048744461</v>
      </c>
      <c r="D20" s="363">
        <v>1935600</v>
      </c>
      <c r="E20" s="363">
        <v>1814625</v>
      </c>
      <c r="F20" s="363">
        <v>1302656</v>
      </c>
      <c r="G20" s="357">
        <v>2225940</v>
      </c>
      <c r="H20" s="357">
        <v>0</v>
      </c>
      <c r="I20" s="357">
        <f t="shared" si="0"/>
        <v>2225940</v>
      </c>
      <c r="J20" s="627">
        <f t="shared" si="2"/>
        <v>67.299855342012819</v>
      </c>
      <c r="K20" s="364"/>
      <c r="L20" s="352"/>
      <c r="M20" s="351"/>
      <c r="N20" s="351"/>
    </row>
    <row r="21" spans="1:14" s="345" customFormat="1" ht="22.5" customHeight="1" thickTop="1" thickBot="1">
      <c r="A21" s="374" t="s">
        <v>410</v>
      </c>
      <c r="B21" s="377">
        <f>SUM(B5:B20)</f>
        <v>3385</v>
      </c>
      <c r="C21" s="536">
        <f t="shared" si="1"/>
        <v>100</v>
      </c>
      <c r="D21" s="377">
        <f>SUM(D5:D20)</f>
        <v>7086092</v>
      </c>
      <c r="E21" s="377">
        <f>SUM(E5:E20)</f>
        <v>5585313</v>
      </c>
      <c r="F21" s="377">
        <f>SUM(F5:F20)</f>
        <v>4495090</v>
      </c>
      <c r="G21" s="377">
        <f>SUM(G5:G20)</f>
        <v>6161686</v>
      </c>
      <c r="H21" s="377">
        <f>SUM(H5:H20)</f>
        <v>17438</v>
      </c>
      <c r="I21" s="377">
        <f t="shared" si="0"/>
        <v>6179124</v>
      </c>
      <c r="J21" s="536">
        <f t="shared" si="2"/>
        <v>63.435388645814925</v>
      </c>
      <c r="K21" s="364"/>
      <c r="L21" s="352"/>
      <c r="M21" s="351"/>
      <c r="N21" s="351"/>
    </row>
    <row r="22" spans="1:14" s="345" customFormat="1" ht="18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 s="1032"/>
      <c r="I22" s="814"/>
      <c r="J22" s="814"/>
      <c r="K22" s="364"/>
      <c r="L22" s="352"/>
      <c r="M22" s="351"/>
      <c r="N22" s="351"/>
    </row>
    <row r="23" spans="1:14" s="345" customFormat="1" ht="18" customHeight="1">
      <c r="A23" s="961" t="s">
        <v>432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364"/>
      <c r="L23" s="352"/>
      <c r="M23" s="351"/>
      <c r="N23" s="351"/>
    </row>
    <row r="24" spans="1:14" s="345" customFormat="1" ht="18" customHeight="1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364"/>
      <c r="L24" s="352"/>
      <c r="M24" s="351"/>
      <c r="N24" s="351"/>
    </row>
    <row r="25" spans="1:14" s="345" customFormat="1" ht="11.25" customHeight="1" thickBot="1">
      <c r="A25" s="1031"/>
      <c r="B25" s="1031"/>
      <c r="C25" s="1031"/>
      <c r="D25" s="1031"/>
      <c r="E25" s="1031"/>
      <c r="F25" s="1031"/>
      <c r="G25" s="1031"/>
      <c r="H25" s="369"/>
      <c r="I25" s="371"/>
      <c r="J25" s="364"/>
      <c r="K25" s="364"/>
      <c r="L25" s="352"/>
      <c r="M25" s="351"/>
      <c r="N25" s="351"/>
    </row>
    <row r="26" spans="1:14" ht="18" customHeight="1">
      <c r="A26" s="1027" t="s">
        <v>336</v>
      </c>
      <c r="B26" s="1027"/>
      <c r="C26" s="1027"/>
      <c r="D26" s="1027"/>
      <c r="E26" s="1027"/>
      <c r="F26" s="1027"/>
      <c r="G26" s="1027"/>
      <c r="H26" s="1027"/>
      <c r="I26" s="372"/>
      <c r="J26" s="466">
        <v>34</v>
      </c>
      <c r="K26" s="18"/>
      <c r="L26" s="18"/>
      <c r="M26" s="18"/>
      <c r="N26" s="18"/>
    </row>
  </sheetData>
  <mergeCells count="11">
    <mergeCell ref="A26:H26"/>
    <mergeCell ref="A1:J1"/>
    <mergeCell ref="A2:J2"/>
    <mergeCell ref="A3:A4"/>
    <mergeCell ref="B3:C3"/>
    <mergeCell ref="G3:I3"/>
    <mergeCell ref="J3:J4"/>
    <mergeCell ref="A25:G25"/>
    <mergeCell ref="A23:J23"/>
    <mergeCell ref="A24:J24"/>
    <mergeCell ref="A22:H22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30"/>
  <sheetViews>
    <sheetView rightToLeft="1" view="pageBreakPreview" topLeftCell="A16" zoomScale="120" zoomScaleSheetLayoutView="120" workbookViewId="0">
      <selection activeCell="J6" sqref="J6"/>
    </sheetView>
  </sheetViews>
  <sheetFormatPr defaultColWidth="10.375" defaultRowHeight="14.25"/>
  <cols>
    <col min="1" max="1" width="9.875" customWidth="1"/>
    <col min="2" max="2" width="9.625" customWidth="1"/>
    <col min="3" max="3" width="8.875" customWidth="1"/>
    <col min="4" max="4" width="13" customWidth="1"/>
    <col min="5" max="5" width="13.375" customWidth="1"/>
    <col min="6" max="6" width="13.125" customWidth="1"/>
    <col min="7" max="7" width="13.25" customWidth="1"/>
    <col min="8" max="8" width="11.625" customWidth="1"/>
    <col min="9" max="9" width="13.25" customWidth="1"/>
    <col min="10" max="10" width="11" customWidth="1"/>
    <col min="11" max="11" width="13.75" customWidth="1"/>
  </cols>
  <sheetData>
    <row r="1" spans="1:21" ht="23.25" customHeight="1">
      <c r="A1" s="1034" t="s">
        <v>468</v>
      </c>
      <c r="B1" s="1034"/>
      <c r="C1" s="1034"/>
      <c r="D1" s="1034"/>
      <c r="E1" s="1034"/>
      <c r="F1" s="1034"/>
      <c r="G1" s="1034"/>
      <c r="H1" s="1034"/>
      <c r="I1" s="1034"/>
      <c r="J1" s="1034"/>
      <c r="K1" s="1034"/>
    </row>
    <row r="2" spans="1:21" ht="23.25" customHeight="1" thickBot="1">
      <c r="A2" s="1035" t="s">
        <v>344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</row>
    <row r="3" spans="1:21" ht="28.5" customHeight="1" thickTop="1">
      <c r="A3" s="984" t="s">
        <v>103</v>
      </c>
      <c r="B3" s="989" t="s">
        <v>345</v>
      </c>
      <c r="C3" s="989"/>
      <c r="D3" s="651" t="s">
        <v>377</v>
      </c>
      <c r="E3" s="651" t="s">
        <v>482</v>
      </c>
      <c r="F3" s="651" t="s">
        <v>483</v>
      </c>
      <c r="G3" s="989" t="s">
        <v>484</v>
      </c>
      <c r="H3" s="989"/>
      <c r="I3" s="989"/>
      <c r="J3" s="989"/>
      <c r="K3" s="1036" t="s">
        <v>346</v>
      </c>
    </row>
    <row r="4" spans="1:21" ht="25.5" customHeight="1">
      <c r="A4" s="992"/>
      <c r="B4" s="383" t="s">
        <v>376</v>
      </c>
      <c r="C4" s="383" t="s">
        <v>335</v>
      </c>
      <c r="D4" s="459" t="s">
        <v>378</v>
      </c>
      <c r="E4" s="459" t="s">
        <v>378</v>
      </c>
      <c r="F4" s="459" t="s">
        <v>378</v>
      </c>
      <c r="G4" s="373" t="s">
        <v>382</v>
      </c>
      <c r="H4" s="373" t="s">
        <v>379</v>
      </c>
      <c r="I4" s="373" t="s">
        <v>380</v>
      </c>
      <c r="J4" s="373" t="s">
        <v>47</v>
      </c>
      <c r="K4" s="1037"/>
    </row>
    <row r="5" spans="1:21" ht="23.25" customHeight="1">
      <c r="A5" s="336" t="s">
        <v>104</v>
      </c>
      <c r="B5" s="127">
        <v>0</v>
      </c>
      <c r="C5" s="337">
        <f>B5/295*100</f>
        <v>0</v>
      </c>
      <c r="D5" s="338">
        <v>0</v>
      </c>
      <c r="E5" s="338">
        <v>0</v>
      </c>
      <c r="F5" s="339">
        <v>0</v>
      </c>
      <c r="G5" s="339">
        <v>0</v>
      </c>
      <c r="H5" s="340">
        <v>0</v>
      </c>
      <c r="I5" s="340">
        <v>0</v>
      </c>
      <c r="J5" s="340">
        <f t="shared" ref="J5:J21" si="0">SUM(G5:I5)</f>
        <v>0</v>
      </c>
      <c r="K5" s="337">
        <f>J5/295*100</f>
        <v>0</v>
      </c>
    </row>
    <row r="6" spans="1:21" s="345" customFormat="1" ht="23.25" customHeight="1">
      <c r="A6" s="336" t="s">
        <v>105</v>
      </c>
      <c r="B6" s="127">
        <v>9</v>
      </c>
      <c r="C6" s="337">
        <f t="shared" ref="C6:C21" si="1">B6/295*100</f>
        <v>3.050847457627119</v>
      </c>
      <c r="D6" s="338">
        <v>3120</v>
      </c>
      <c r="E6" s="338">
        <v>558</v>
      </c>
      <c r="F6" s="339">
        <v>558</v>
      </c>
      <c r="G6" s="339">
        <v>0</v>
      </c>
      <c r="H6" s="340">
        <v>0</v>
      </c>
      <c r="I6" s="340">
        <v>781</v>
      </c>
      <c r="J6" s="340">
        <f t="shared" si="0"/>
        <v>781</v>
      </c>
      <c r="K6" s="384">
        <f t="shared" ref="K6:K20" si="2">F6/D6*100</f>
        <v>17.884615384615383</v>
      </c>
      <c r="L6" s="341"/>
      <c r="M6" s="341"/>
      <c r="O6" s="385"/>
    </row>
    <row r="7" spans="1:21" s="345" customFormat="1" ht="23.25" customHeight="1">
      <c r="A7" s="346" t="s">
        <v>106</v>
      </c>
      <c r="B7" s="128">
        <v>36</v>
      </c>
      <c r="C7" s="337">
        <f t="shared" si="1"/>
        <v>12.203389830508476</v>
      </c>
      <c r="D7" s="348">
        <v>492</v>
      </c>
      <c r="E7" s="348">
        <v>443</v>
      </c>
      <c r="F7" s="349">
        <v>442</v>
      </c>
      <c r="G7" s="349">
        <v>0</v>
      </c>
      <c r="H7" s="350">
        <v>0</v>
      </c>
      <c r="I7" s="350">
        <v>497</v>
      </c>
      <c r="J7" s="340">
        <f t="shared" si="0"/>
        <v>497</v>
      </c>
      <c r="K7" s="384">
        <f t="shared" si="2"/>
        <v>89.837398373983731</v>
      </c>
      <c r="L7" s="341"/>
      <c r="M7" s="341"/>
      <c r="N7" s="1033"/>
      <c r="O7" s="1033"/>
      <c r="P7" s="1033"/>
      <c r="Q7" s="1033"/>
      <c r="R7" s="1033"/>
      <c r="S7" s="1033"/>
      <c r="T7" s="1033"/>
      <c r="U7" s="344"/>
    </row>
    <row r="8" spans="1:21" s="345" customFormat="1" ht="23.25" customHeight="1">
      <c r="A8" s="346" t="s">
        <v>448</v>
      </c>
      <c r="B8" s="128">
        <v>5</v>
      </c>
      <c r="C8" s="337">
        <f t="shared" si="1"/>
        <v>1.6949152542372881</v>
      </c>
      <c r="D8" s="348">
        <v>125</v>
      </c>
      <c r="E8" s="348">
        <v>50</v>
      </c>
      <c r="F8" s="349">
        <v>75</v>
      </c>
      <c r="G8" s="349">
        <v>0</v>
      </c>
      <c r="H8" s="350">
        <v>0</v>
      </c>
      <c r="I8" s="350">
        <v>150</v>
      </c>
      <c r="J8" s="340">
        <f t="shared" si="0"/>
        <v>150</v>
      </c>
      <c r="K8" s="384">
        <f t="shared" si="2"/>
        <v>60</v>
      </c>
      <c r="L8" s="341"/>
      <c r="M8" s="341"/>
      <c r="N8" s="623"/>
      <c r="O8" s="623"/>
      <c r="P8" s="623"/>
      <c r="Q8" s="623"/>
      <c r="R8" s="623"/>
      <c r="S8" s="623"/>
      <c r="T8" s="623"/>
      <c r="U8" s="344"/>
    </row>
    <row r="9" spans="1:21" s="345" customFormat="1" ht="23.25" customHeight="1">
      <c r="A9" s="355" t="s">
        <v>117</v>
      </c>
      <c r="B9" s="128">
        <v>0</v>
      </c>
      <c r="C9" s="337">
        <f t="shared" si="1"/>
        <v>0</v>
      </c>
      <c r="D9" s="348">
        <v>0</v>
      </c>
      <c r="E9" s="348">
        <v>0</v>
      </c>
      <c r="F9" s="349">
        <v>0</v>
      </c>
      <c r="G9" s="349">
        <v>0</v>
      </c>
      <c r="H9" s="350">
        <v>0</v>
      </c>
      <c r="I9" s="350">
        <v>0</v>
      </c>
      <c r="J9" s="340">
        <f t="shared" si="0"/>
        <v>0</v>
      </c>
      <c r="K9" s="337">
        <f>J9/295*100</f>
        <v>0</v>
      </c>
      <c r="L9" s="341"/>
      <c r="M9" s="341"/>
      <c r="N9" s="351"/>
      <c r="O9" s="352"/>
      <c r="P9" s="353"/>
      <c r="Q9" s="353"/>
      <c r="R9" s="354"/>
      <c r="S9" s="354"/>
      <c r="T9" s="354"/>
    </row>
    <row r="10" spans="1:21" s="345" customFormat="1" ht="23.25" customHeight="1">
      <c r="A10" s="355" t="s">
        <v>108</v>
      </c>
      <c r="B10" s="360">
        <v>4</v>
      </c>
      <c r="C10" s="337">
        <f t="shared" si="1"/>
        <v>1.3559322033898304</v>
      </c>
      <c r="D10" s="348">
        <v>50</v>
      </c>
      <c r="E10" s="348">
        <v>0</v>
      </c>
      <c r="F10" s="349">
        <v>0</v>
      </c>
      <c r="G10" s="349">
        <v>0</v>
      </c>
      <c r="H10" s="350">
        <v>0</v>
      </c>
      <c r="I10" s="350">
        <v>0</v>
      </c>
      <c r="J10" s="340">
        <f t="shared" si="0"/>
        <v>0</v>
      </c>
      <c r="K10" s="384">
        <f t="shared" si="2"/>
        <v>0</v>
      </c>
      <c r="L10" s="341"/>
      <c r="M10" s="341"/>
      <c r="N10" s="365"/>
      <c r="O10" s="352"/>
      <c r="P10" s="353"/>
      <c r="Q10" s="353"/>
      <c r="R10" s="354"/>
      <c r="S10" s="354"/>
      <c r="T10" s="354"/>
    </row>
    <row r="11" spans="1:21" s="345" customFormat="1" ht="23.25" customHeight="1">
      <c r="A11" s="355" t="s">
        <v>110</v>
      </c>
      <c r="B11" s="360">
        <v>4</v>
      </c>
      <c r="C11" s="337">
        <f t="shared" si="1"/>
        <v>1.3559322033898304</v>
      </c>
      <c r="D11" s="348">
        <v>180</v>
      </c>
      <c r="E11" s="348">
        <v>171</v>
      </c>
      <c r="F11" s="349">
        <v>153</v>
      </c>
      <c r="G11" s="349">
        <v>0</v>
      </c>
      <c r="H11" s="350">
        <v>198</v>
      </c>
      <c r="I11" s="350">
        <v>0</v>
      </c>
      <c r="J11" s="340">
        <f t="shared" si="0"/>
        <v>198</v>
      </c>
      <c r="K11" s="384">
        <f t="shared" si="2"/>
        <v>85</v>
      </c>
      <c r="L11" s="341"/>
      <c r="M11" s="341"/>
      <c r="N11" s="365"/>
      <c r="O11" s="352"/>
      <c r="P11" s="351"/>
      <c r="Q11" s="351"/>
    </row>
    <row r="12" spans="1:21" s="345" customFormat="1" ht="23.25" customHeight="1">
      <c r="A12" s="355" t="s">
        <v>102</v>
      </c>
      <c r="B12" s="128">
        <v>5</v>
      </c>
      <c r="C12" s="337">
        <f t="shared" si="1"/>
        <v>1.6949152542372881</v>
      </c>
      <c r="D12" s="348">
        <v>744</v>
      </c>
      <c r="E12" s="348">
        <v>632</v>
      </c>
      <c r="F12" s="349">
        <v>310</v>
      </c>
      <c r="G12" s="465">
        <v>105</v>
      </c>
      <c r="H12" s="357">
        <v>0</v>
      </c>
      <c r="I12" s="357">
        <v>563</v>
      </c>
      <c r="J12" s="340">
        <f t="shared" si="0"/>
        <v>668</v>
      </c>
      <c r="K12" s="384">
        <f t="shared" si="2"/>
        <v>41.666666666666671</v>
      </c>
      <c r="L12" s="341"/>
      <c r="M12" s="341"/>
      <c r="N12" s="366"/>
      <c r="O12" s="352"/>
      <c r="P12" s="351"/>
      <c r="Q12" s="351"/>
    </row>
    <row r="13" spans="1:21" s="345" customFormat="1" ht="23.25" customHeight="1">
      <c r="A13" s="355" t="s">
        <v>109</v>
      </c>
      <c r="B13" s="128">
        <v>24</v>
      </c>
      <c r="C13" s="337">
        <f t="shared" si="1"/>
        <v>8.1355932203389827</v>
      </c>
      <c r="D13" s="348">
        <v>603</v>
      </c>
      <c r="E13" s="348">
        <v>403</v>
      </c>
      <c r="F13" s="349">
        <v>403</v>
      </c>
      <c r="G13" s="349">
        <v>200</v>
      </c>
      <c r="H13" s="350">
        <v>250</v>
      </c>
      <c r="I13" s="350">
        <v>200</v>
      </c>
      <c r="J13" s="340">
        <f t="shared" si="0"/>
        <v>650</v>
      </c>
      <c r="K13" s="384">
        <f t="shared" si="2"/>
        <v>66.83250414593698</v>
      </c>
      <c r="L13" s="341"/>
      <c r="M13" s="341"/>
      <c r="N13" s="366"/>
      <c r="O13" s="352"/>
      <c r="P13" s="351"/>
      <c r="Q13" s="351"/>
    </row>
    <row r="14" spans="1:21" s="345" customFormat="1" ht="23.25" customHeight="1">
      <c r="A14" s="359" t="s">
        <v>381</v>
      </c>
      <c r="B14" s="356">
        <v>4</v>
      </c>
      <c r="C14" s="337">
        <f t="shared" si="1"/>
        <v>1.3559322033898304</v>
      </c>
      <c r="D14" s="348">
        <v>600</v>
      </c>
      <c r="E14" s="348">
        <v>88</v>
      </c>
      <c r="F14" s="349">
        <v>80</v>
      </c>
      <c r="G14" s="349">
        <v>0</v>
      </c>
      <c r="H14" s="361">
        <v>0</v>
      </c>
      <c r="I14" s="361">
        <v>240</v>
      </c>
      <c r="J14" s="340">
        <f t="shared" si="0"/>
        <v>240</v>
      </c>
      <c r="K14" s="384">
        <f>F14/D14*100</f>
        <v>13.333333333333334</v>
      </c>
      <c r="L14" s="341"/>
      <c r="M14" s="341"/>
      <c r="N14" s="355"/>
      <c r="O14" s="352"/>
      <c r="P14" s="351"/>
      <c r="Q14" s="351"/>
    </row>
    <row r="15" spans="1:21" s="358" customFormat="1" ht="23.25" customHeight="1">
      <c r="A15" s="359" t="s">
        <v>111</v>
      </c>
      <c r="B15" s="128">
        <v>8</v>
      </c>
      <c r="C15" s="337">
        <f t="shared" si="1"/>
        <v>2.7118644067796609</v>
      </c>
      <c r="D15" s="348">
        <v>1950</v>
      </c>
      <c r="E15" s="348">
        <v>1750</v>
      </c>
      <c r="F15" s="349">
        <v>1400</v>
      </c>
      <c r="G15" s="349">
        <v>0</v>
      </c>
      <c r="H15" s="361">
        <v>0</v>
      </c>
      <c r="I15" s="361">
        <v>2500</v>
      </c>
      <c r="J15" s="340">
        <f t="shared" si="0"/>
        <v>2500</v>
      </c>
      <c r="K15" s="384">
        <f t="shared" si="2"/>
        <v>71.794871794871796</v>
      </c>
      <c r="L15" s="341"/>
      <c r="M15" s="341"/>
      <c r="N15" s="355"/>
      <c r="O15" s="352"/>
      <c r="P15" s="351"/>
      <c r="Q15" s="351"/>
    </row>
    <row r="16" spans="1:21" s="358" customFormat="1" ht="23.25" customHeight="1">
      <c r="A16" s="359" t="s">
        <v>112</v>
      </c>
      <c r="B16" s="360">
        <v>25</v>
      </c>
      <c r="C16" s="337">
        <f t="shared" si="1"/>
        <v>8.4745762711864394</v>
      </c>
      <c r="D16" s="348">
        <v>1250</v>
      </c>
      <c r="E16" s="348">
        <v>120</v>
      </c>
      <c r="F16" s="349">
        <v>120</v>
      </c>
      <c r="G16" s="349">
        <v>0</v>
      </c>
      <c r="H16" s="361">
        <v>200</v>
      </c>
      <c r="I16" s="361">
        <v>0</v>
      </c>
      <c r="J16" s="340">
        <f t="shared" si="0"/>
        <v>200</v>
      </c>
      <c r="K16" s="384">
        <f t="shared" si="2"/>
        <v>9.6</v>
      </c>
      <c r="L16" s="341"/>
      <c r="M16" s="341"/>
      <c r="N16" s="351"/>
      <c r="O16" s="352"/>
      <c r="P16" s="351"/>
      <c r="Q16" s="351"/>
    </row>
    <row r="17" spans="1:17" s="358" customFormat="1" ht="23.25" customHeight="1">
      <c r="A17" s="359" t="s">
        <v>113</v>
      </c>
      <c r="B17" s="360">
        <v>48</v>
      </c>
      <c r="C17" s="337">
        <f t="shared" si="1"/>
        <v>16.271186440677965</v>
      </c>
      <c r="D17" s="348">
        <v>10448</v>
      </c>
      <c r="E17" s="348">
        <v>1520</v>
      </c>
      <c r="F17" s="349">
        <v>1430</v>
      </c>
      <c r="G17" s="349">
        <v>1600</v>
      </c>
      <c r="H17" s="361">
        <v>0</v>
      </c>
      <c r="I17" s="361">
        <v>150</v>
      </c>
      <c r="J17" s="340">
        <f t="shared" si="0"/>
        <v>1750</v>
      </c>
      <c r="K17" s="384">
        <f t="shared" si="2"/>
        <v>13.686830015313936</v>
      </c>
      <c r="L17" s="341"/>
      <c r="M17" s="341"/>
      <c r="N17" s="351"/>
      <c r="O17" s="352"/>
      <c r="P17" s="351"/>
      <c r="Q17" s="351"/>
    </row>
    <row r="18" spans="1:17" s="358" customFormat="1" ht="23.25" customHeight="1">
      <c r="A18" s="359" t="s">
        <v>114</v>
      </c>
      <c r="B18" s="360">
        <v>68</v>
      </c>
      <c r="C18" s="337">
        <f t="shared" si="1"/>
        <v>23.050847457627118</v>
      </c>
      <c r="D18" s="348">
        <v>20320</v>
      </c>
      <c r="E18" s="348">
        <v>2830</v>
      </c>
      <c r="F18" s="349">
        <v>2022</v>
      </c>
      <c r="G18" s="349">
        <v>2022</v>
      </c>
      <c r="H18" s="361">
        <v>0</v>
      </c>
      <c r="I18" s="361">
        <v>0</v>
      </c>
      <c r="J18" s="340">
        <f t="shared" si="0"/>
        <v>2022</v>
      </c>
      <c r="K18" s="384">
        <f t="shared" si="2"/>
        <v>9.9507874015748037</v>
      </c>
      <c r="L18" s="341"/>
      <c r="M18" s="341"/>
      <c r="N18" s="351"/>
      <c r="O18" s="352"/>
      <c r="P18" s="351"/>
      <c r="Q18" s="351"/>
    </row>
    <row r="19" spans="1:17" s="358" customFormat="1" ht="23.25" customHeight="1">
      <c r="A19" s="359" t="s">
        <v>115</v>
      </c>
      <c r="B19" s="360">
        <v>12</v>
      </c>
      <c r="C19" s="337">
        <f t="shared" si="1"/>
        <v>4.0677966101694913</v>
      </c>
      <c r="D19" s="348">
        <v>6000</v>
      </c>
      <c r="E19" s="348">
        <v>5900</v>
      </c>
      <c r="F19" s="349">
        <v>5900</v>
      </c>
      <c r="G19" s="349">
        <v>6750</v>
      </c>
      <c r="H19" s="361">
        <v>0</v>
      </c>
      <c r="I19" s="361">
        <v>0</v>
      </c>
      <c r="J19" s="340">
        <f t="shared" si="0"/>
        <v>6750</v>
      </c>
      <c r="K19" s="384">
        <f t="shared" si="2"/>
        <v>98.333333333333329</v>
      </c>
      <c r="L19" s="341"/>
      <c r="M19" s="341"/>
      <c r="N19" s="351"/>
      <c r="O19" s="352"/>
      <c r="P19" s="351"/>
      <c r="Q19" s="351"/>
    </row>
    <row r="20" spans="1:17" s="358" customFormat="1" ht="23.25" customHeight="1" thickBot="1">
      <c r="A20" s="362" t="s">
        <v>116</v>
      </c>
      <c r="B20" s="360">
        <v>43</v>
      </c>
      <c r="C20" s="337">
        <f t="shared" si="1"/>
        <v>14.576271186440678</v>
      </c>
      <c r="D20" s="363">
        <v>50952</v>
      </c>
      <c r="E20" s="363">
        <v>9029</v>
      </c>
      <c r="F20" s="363">
        <v>5267</v>
      </c>
      <c r="G20" s="363">
        <v>10534</v>
      </c>
      <c r="H20" s="357">
        <v>0</v>
      </c>
      <c r="I20" s="357">
        <v>0</v>
      </c>
      <c r="J20" s="340">
        <f t="shared" si="0"/>
        <v>10534</v>
      </c>
      <c r="K20" s="384">
        <f t="shared" si="2"/>
        <v>10.337180091066102</v>
      </c>
      <c r="L20" s="341"/>
      <c r="M20" s="341"/>
      <c r="N20" s="351"/>
      <c r="O20" s="352"/>
      <c r="P20" s="351"/>
      <c r="Q20" s="351"/>
    </row>
    <row r="21" spans="1:17" s="345" customFormat="1" ht="23.25" customHeight="1" thickTop="1" thickBot="1">
      <c r="A21" s="374" t="s">
        <v>410</v>
      </c>
      <c r="B21" s="376">
        <f>SUM(B5:B20)</f>
        <v>295</v>
      </c>
      <c r="C21" s="388">
        <f t="shared" si="1"/>
        <v>100</v>
      </c>
      <c r="D21" s="376">
        <f t="shared" ref="D21:I21" si="3">SUM(D5:D20)</f>
        <v>96834</v>
      </c>
      <c r="E21" s="376">
        <f t="shared" si="3"/>
        <v>23494</v>
      </c>
      <c r="F21" s="376">
        <f t="shared" si="3"/>
        <v>18160</v>
      </c>
      <c r="G21" s="376">
        <f t="shared" si="3"/>
        <v>21211</v>
      </c>
      <c r="H21" s="376">
        <f t="shared" si="3"/>
        <v>648</v>
      </c>
      <c r="I21" s="376">
        <f t="shared" si="3"/>
        <v>5081</v>
      </c>
      <c r="J21" s="376">
        <f t="shared" si="0"/>
        <v>26940</v>
      </c>
      <c r="K21" s="388">
        <f t="shared" ref="K21" si="4">F21/D21*100</f>
        <v>18.753743519838075</v>
      </c>
      <c r="L21" s="364"/>
      <c r="M21" s="364"/>
      <c r="N21" s="364"/>
      <c r="O21" s="352"/>
      <c r="P21" s="351"/>
      <c r="Q21" s="351"/>
    </row>
    <row r="22" spans="1:17" s="345" customFormat="1" ht="17.2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/>
      <c r="I22"/>
      <c r="J22"/>
      <c r="K22" s="364"/>
      <c r="L22" s="352"/>
      <c r="M22" s="351"/>
      <c r="N22" s="351"/>
    </row>
    <row r="23" spans="1:17" s="345" customFormat="1" ht="17.25" customHeight="1">
      <c r="A23" s="961" t="s">
        <v>432</v>
      </c>
      <c r="B23" s="961"/>
      <c r="C23" s="961"/>
      <c r="D23" s="961"/>
      <c r="E23" s="961"/>
      <c r="F23" s="961"/>
      <c r="G23" s="961"/>
      <c r="H23" s="369"/>
      <c r="I23" s="369"/>
      <c r="J23" s="371"/>
      <c r="K23" s="364"/>
      <c r="L23" s="364"/>
      <c r="M23" s="352"/>
      <c r="N23" s="351"/>
      <c r="O23" s="351"/>
    </row>
    <row r="24" spans="1:17" s="345" customFormat="1" ht="17.25" customHeight="1" thickBot="1">
      <c r="A24" s="1031"/>
      <c r="B24" s="1031"/>
      <c r="C24" s="1031"/>
      <c r="D24" s="1031"/>
      <c r="E24" s="1031"/>
      <c r="F24" s="1031"/>
      <c r="G24" s="1031"/>
      <c r="H24" s="369"/>
      <c r="I24" s="369"/>
      <c r="J24" s="371"/>
      <c r="K24" s="364"/>
      <c r="L24" s="364"/>
      <c r="M24" s="352"/>
      <c r="N24" s="351"/>
      <c r="O24" s="351"/>
    </row>
    <row r="25" spans="1:17" ht="17.25" customHeight="1">
      <c r="A25" s="1027" t="s">
        <v>336</v>
      </c>
      <c r="B25" s="1027"/>
      <c r="C25" s="1027"/>
      <c r="D25" s="1027"/>
      <c r="E25" s="1027"/>
      <c r="F25" s="1027"/>
      <c r="G25" s="1027"/>
      <c r="H25" s="1027"/>
      <c r="I25" s="1027"/>
      <c r="J25" s="1027"/>
      <c r="K25" s="466">
        <v>35</v>
      </c>
      <c r="L25" s="18"/>
      <c r="M25" s="18"/>
      <c r="N25" s="18"/>
      <c r="O25" s="18"/>
      <c r="P25" s="18"/>
      <c r="Q25" s="18"/>
    </row>
    <row r="26" spans="1:17">
      <c r="L26" s="18"/>
      <c r="M26" s="18"/>
      <c r="N26" s="18"/>
      <c r="O26" s="18"/>
      <c r="P26" s="18"/>
      <c r="Q26" s="18"/>
    </row>
    <row r="27" spans="1:17">
      <c r="L27" s="18"/>
      <c r="M27" s="18"/>
      <c r="N27" s="18"/>
      <c r="O27" s="18"/>
      <c r="P27" s="18"/>
      <c r="Q27" s="18"/>
    </row>
    <row r="28" spans="1:17">
      <c r="L28" s="18"/>
      <c r="M28" s="18"/>
      <c r="N28" s="18"/>
      <c r="O28" s="18"/>
      <c r="P28" s="18"/>
      <c r="Q28" s="18"/>
    </row>
    <row r="29" spans="1:17">
      <c r="L29" s="18"/>
      <c r="M29" s="18"/>
      <c r="N29" s="18"/>
      <c r="O29" s="18"/>
      <c r="P29" s="18"/>
      <c r="Q29" s="18"/>
    </row>
    <row r="30" spans="1:17">
      <c r="L30" s="18"/>
      <c r="M30" s="18"/>
      <c r="N30" s="18"/>
      <c r="O30" s="18"/>
      <c r="P30" s="18"/>
      <c r="Q30" s="18"/>
    </row>
  </sheetData>
  <mergeCells count="11">
    <mergeCell ref="N7:T7"/>
    <mergeCell ref="A25:J25"/>
    <mergeCell ref="A1:K1"/>
    <mergeCell ref="A2:K2"/>
    <mergeCell ref="A3:A4"/>
    <mergeCell ref="B3:C3"/>
    <mergeCell ref="K3:K4"/>
    <mergeCell ref="G3:J3"/>
    <mergeCell ref="A23:G23"/>
    <mergeCell ref="A24:G24"/>
    <mergeCell ref="A22:G22"/>
  </mergeCells>
  <printOptions horizontalCentered="1"/>
  <pageMargins left="0.55118110236220474" right="0.55118110236220474" top="0.51181102362204722" bottom="0.51181102362204722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30"/>
  <sheetViews>
    <sheetView rightToLeft="1" view="pageBreakPreview" topLeftCell="A16" zoomScale="110" zoomScaleSheetLayoutView="110" workbookViewId="0">
      <selection activeCell="B8" sqref="B8"/>
    </sheetView>
  </sheetViews>
  <sheetFormatPr defaultColWidth="10.375" defaultRowHeight="14.25"/>
  <cols>
    <col min="1" max="1" width="11.875" customWidth="1"/>
    <col min="2" max="3" width="9.625" customWidth="1"/>
    <col min="4" max="4" width="0.875" customWidth="1"/>
    <col min="5" max="6" width="9.625" customWidth="1"/>
    <col min="7" max="7" width="14.625" customWidth="1"/>
    <col min="8" max="8" width="14.875" customWidth="1"/>
    <col min="9" max="9" width="14.625" customWidth="1"/>
    <col min="10" max="10" width="19" customWidth="1"/>
    <col min="11" max="11" width="14.625" customWidth="1"/>
  </cols>
  <sheetData>
    <row r="1" spans="1:21" ht="23.25" customHeight="1">
      <c r="A1" s="1034" t="s">
        <v>479</v>
      </c>
      <c r="B1" s="1034"/>
      <c r="C1" s="1034"/>
      <c r="D1" s="1034"/>
      <c r="E1" s="1034"/>
      <c r="F1" s="1034"/>
      <c r="G1" s="1034"/>
      <c r="H1" s="1034"/>
      <c r="I1" s="1034"/>
      <c r="J1" s="1034"/>
      <c r="K1" s="1034"/>
    </row>
    <row r="2" spans="1:21" ht="23.25" customHeight="1" thickBot="1">
      <c r="A2" s="1035" t="s">
        <v>347</v>
      </c>
      <c r="B2" s="1035"/>
      <c r="C2" s="1035"/>
      <c r="D2" s="1035"/>
      <c r="E2" s="1035"/>
      <c r="F2" s="1035"/>
      <c r="G2" s="1035"/>
      <c r="H2" s="1035"/>
      <c r="I2" s="1035"/>
      <c r="J2" s="1035"/>
      <c r="K2" s="1035"/>
    </row>
    <row r="3" spans="1:21" ht="30" customHeight="1" thickTop="1">
      <c r="A3" s="984" t="s">
        <v>103</v>
      </c>
      <c r="B3" s="989" t="s">
        <v>480</v>
      </c>
      <c r="C3" s="989"/>
      <c r="D3" s="815"/>
      <c r="E3" s="989" t="s">
        <v>481</v>
      </c>
      <c r="F3" s="989"/>
      <c r="G3" s="651" t="s">
        <v>377</v>
      </c>
      <c r="H3" s="651" t="s">
        <v>482</v>
      </c>
      <c r="I3" s="651" t="s">
        <v>483</v>
      </c>
      <c r="J3" s="984" t="s">
        <v>485</v>
      </c>
      <c r="K3" s="984" t="s">
        <v>342</v>
      </c>
    </row>
    <row r="4" spans="1:21" ht="25.5" customHeight="1">
      <c r="A4" s="992"/>
      <c r="B4" s="383" t="s">
        <v>376</v>
      </c>
      <c r="C4" s="383" t="s">
        <v>335</v>
      </c>
      <c r="D4" s="818"/>
      <c r="E4" s="383" t="s">
        <v>334</v>
      </c>
      <c r="F4" s="383" t="s">
        <v>335</v>
      </c>
      <c r="G4" s="652" t="s">
        <v>378</v>
      </c>
      <c r="H4" s="652" t="s">
        <v>378</v>
      </c>
      <c r="I4" s="652" t="s">
        <v>378</v>
      </c>
      <c r="J4" s="992"/>
      <c r="K4" s="992"/>
    </row>
    <row r="5" spans="1:21" ht="21.75" customHeight="1">
      <c r="A5" s="336" t="s">
        <v>104</v>
      </c>
      <c r="B5" s="127">
        <v>475</v>
      </c>
      <c r="C5" s="337">
        <f>B5/917*100</f>
        <v>51.799345692475462</v>
      </c>
      <c r="D5" s="337"/>
      <c r="E5" s="727">
        <v>475</v>
      </c>
      <c r="F5" s="337">
        <f>E5/619*100</f>
        <v>76.736672051696289</v>
      </c>
      <c r="G5" s="338">
        <v>11850</v>
      </c>
      <c r="H5" s="338">
        <v>11850</v>
      </c>
      <c r="I5" s="339">
        <v>11850</v>
      </c>
      <c r="J5" s="339">
        <v>12443</v>
      </c>
      <c r="K5" s="384">
        <f>I5/G5*100</f>
        <v>100</v>
      </c>
    </row>
    <row r="6" spans="1:21" s="345" customFormat="1" ht="21.75" customHeight="1">
      <c r="A6" s="336" t="s">
        <v>105</v>
      </c>
      <c r="B6" s="127">
        <v>370</v>
      </c>
      <c r="C6" s="337">
        <f t="shared" ref="C6:C21" si="0">B6/917*100</f>
        <v>40.348964013086153</v>
      </c>
      <c r="D6" s="337"/>
      <c r="E6" s="727">
        <v>115</v>
      </c>
      <c r="F6" s="337">
        <f t="shared" ref="F6:F21" si="1">E6/619*100</f>
        <v>18.578352180936992</v>
      </c>
      <c r="G6" s="338">
        <v>122130</v>
      </c>
      <c r="H6" s="338">
        <v>78167</v>
      </c>
      <c r="I6" s="339">
        <v>78167</v>
      </c>
      <c r="J6" s="339">
        <v>84421</v>
      </c>
      <c r="K6" s="384">
        <f t="shared" ref="K6:K21" si="2">I6/G6*100</f>
        <v>64.003111438630967</v>
      </c>
      <c r="L6" s="341"/>
      <c r="M6" s="341"/>
      <c r="O6" s="385"/>
    </row>
    <row r="7" spans="1:21" s="345" customFormat="1" ht="21.75" customHeight="1">
      <c r="A7" s="346" t="s">
        <v>106</v>
      </c>
      <c r="B7" s="128">
        <v>0</v>
      </c>
      <c r="C7" s="337">
        <f t="shared" si="0"/>
        <v>0</v>
      </c>
      <c r="D7" s="337"/>
      <c r="E7" s="727">
        <v>0</v>
      </c>
      <c r="F7" s="337">
        <f t="shared" si="1"/>
        <v>0</v>
      </c>
      <c r="G7" s="348">
        <v>0</v>
      </c>
      <c r="H7" s="348">
        <v>0</v>
      </c>
      <c r="I7" s="349">
        <v>0</v>
      </c>
      <c r="J7" s="465">
        <v>0</v>
      </c>
      <c r="K7" s="337">
        <f t="shared" ref="K7" si="3">J7/144*100</f>
        <v>0</v>
      </c>
      <c r="L7" s="341"/>
      <c r="M7" s="341"/>
      <c r="N7" s="1033"/>
      <c r="O7" s="1033"/>
      <c r="P7" s="1033"/>
      <c r="Q7" s="1033"/>
      <c r="R7" s="1033"/>
      <c r="S7" s="1033"/>
      <c r="T7" s="1033"/>
      <c r="U7" s="344"/>
    </row>
    <row r="8" spans="1:21" s="345" customFormat="1" ht="21.75" customHeight="1">
      <c r="A8" s="346" t="s">
        <v>448</v>
      </c>
      <c r="B8" s="128">
        <v>0</v>
      </c>
      <c r="C8" s="337">
        <f t="shared" ref="C8" si="4">B8/917*100</f>
        <v>0</v>
      </c>
      <c r="D8" s="337"/>
      <c r="E8" s="727">
        <v>0</v>
      </c>
      <c r="F8" s="337">
        <f t="shared" ref="F8" si="5">E8/619*100</f>
        <v>0</v>
      </c>
      <c r="G8" s="348">
        <v>0</v>
      </c>
      <c r="H8" s="348">
        <v>0</v>
      </c>
      <c r="I8" s="349">
        <v>0</v>
      </c>
      <c r="J8" s="465">
        <v>0</v>
      </c>
      <c r="K8" s="337">
        <f t="shared" ref="K8" si="6">J8/144*100</f>
        <v>0</v>
      </c>
      <c r="L8" s="341"/>
      <c r="M8" s="341"/>
      <c r="N8" s="653"/>
      <c r="O8" s="653"/>
      <c r="P8" s="653"/>
      <c r="Q8" s="653"/>
      <c r="R8" s="653"/>
      <c r="S8" s="653"/>
      <c r="T8" s="653"/>
      <c r="U8" s="344"/>
    </row>
    <row r="9" spans="1:21" s="345" customFormat="1" ht="21.75" customHeight="1">
      <c r="A9" s="355" t="s">
        <v>117</v>
      </c>
      <c r="B9" s="128">
        <v>0</v>
      </c>
      <c r="C9" s="337">
        <f t="shared" si="0"/>
        <v>0</v>
      </c>
      <c r="D9" s="337"/>
      <c r="E9" s="727">
        <v>0</v>
      </c>
      <c r="F9" s="337">
        <f t="shared" si="1"/>
        <v>0</v>
      </c>
      <c r="G9" s="348">
        <v>0</v>
      </c>
      <c r="H9" s="348">
        <v>0</v>
      </c>
      <c r="I9" s="349">
        <v>0</v>
      </c>
      <c r="J9" s="465">
        <v>0</v>
      </c>
      <c r="K9" s="337">
        <f t="shared" ref="K9:K13" si="7">J9/144*100</f>
        <v>0</v>
      </c>
      <c r="L9" s="341"/>
      <c r="M9" s="341"/>
      <c r="N9" s="351"/>
      <c r="O9" s="352"/>
      <c r="P9" s="353"/>
      <c r="Q9" s="353"/>
      <c r="R9" s="354"/>
      <c r="S9" s="354"/>
      <c r="T9" s="354"/>
    </row>
    <row r="10" spans="1:21" s="345" customFormat="1" ht="21.75" customHeight="1">
      <c r="A10" s="355" t="s">
        <v>108</v>
      </c>
      <c r="B10" s="128">
        <v>0</v>
      </c>
      <c r="C10" s="337">
        <f t="shared" si="0"/>
        <v>0</v>
      </c>
      <c r="D10" s="337"/>
      <c r="E10" s="727">
        <v>0</v>
      </c>
      <c r="F10" s="337">
        <f t="shared" si="1"/>
        <v>0</v>
      </c>
      <c r="G10" s="348">
        <v>0</v>
      </c>
      <c r="H10" s="348">
        <v>0</v>
      </c>
      <c r="I10" s="349">
        <v>0</v>
      </c>
      <c r="J10" s="465">
        <v>0</v>
      </c>
      <c r="K10" s="337">
        <f t="shared" si="7"/>
        <v>0</v>
      </c>
      <c r="L10" s="341"/>
      <c r="M10" s="341"/>
      <c r="N10" s="365"/>
      <c r="O10" s="352"/>
      <c r="P10" s="353"/>
      <c r="Q10" s="353"/>
      <c r="R10" s="354"/>
      <c r="S10" s="354"/>
      <c r="T10" s="354"/>
    </row>
    <row r="11" spans="1:21" s="345" customFormat="1" ht="21.75" customHeight="1">
      <c r="A11" s="355" t="s">
        <v>110</v>
      </c>
      <c r="B11" s="128">
        <v>0</v>
      </c>
      <c r="C11" s="337">
        <f t="shared" si="0"/>
        <v>0</v>
      </c>
      <c r="D11" s="337"/>
      <c r="E11" s="727">
        <v>0</v>
      </c>
      <c r="F11" s="337">
        <f t="shared" si="1"/>
        <v>0</v>
      </c>
      <c r="G11" s="348">
        <v>0</v>
      </c>
      <c r="H11" s="348">
        <v>0</v>
      </c>
      <c r="I11" s="349">
        <v>0</v>
      </c>
      <c r="J11" s="465">
        <v>0</v>
      </c>
      <c r="K11" s="337">
        <f t="shared" si="7"/>
        <v>0</v>
      </c>
      <c r="L11" s="341"/>
      <c r="M11" s="341"/>
      <c r="N11" s="365"/>
      <c r="O11" s="352"/>
      <c r="P11" s="351"/>
      <c r="Q11" s="351"/>
    </row>
    <row r="12" spans="1:21" s="345" customFormat="1" ht="21.75" customHeight="1">
      <c r="A12" s="355" t="s">
        <v>102</v>
      </c>
      <c r="B12" s="128">
        <v>0</v>
      </c>
      <c r="C12" s="337">
        <f t="shared" si="0"/>
        <v>0</v>
      </c>
      <c r="D12" s="337"/>
      <c r="E12" s="727">
        <v>0</v>
      </c>
      <c r="F12" s="337">
        <f t="shared" si="1"/>
        <v>0</v>
      </c>
      <c r="G12" s="348">
        <v>0</v>
      </c>
      <c r="H12" s="348">
        <v>0</v>
      </c>
      <c r="I12" s="349">
        <v>0</v>
      </c>
      <c r="J12" s="465">
        <v>0</v>
      </c>
      <c r="K12" s="337">
        <f t="shared" si="7"/>
        <v>0</v>
      </c>
      <c r="L12" s="341"/>
      <c r="M12" s="341"/>
      <c r="N12" s="366"/>
      <c r="O12" s="352"/>
      <c r="P12" s="351"/>
      <c r="Q12" s="351"/>
    </row>
    <row r="13" spans="1:21" s="345" customFormat="1" ht="21.75" customHeight="1">
      <c r="A13" s="355" t="s">
        <v>109</v>
      </c>
      <c r="B13" s="128">
        <v>0</v>
      </c>
      <c r="C13" s="337">
        <f t="shared" si="0"/>
        <v>0</v>
      </c>
      <c r="D13" s="337"/>
      <c r="E13" s="727">
        <v>0</v>
      </c>
      <c r="F13" s="337">
        <f t="shared" si="1"/>
        <v>0</v>
      </c>
      <c r="G13" s="348">
        <v>0</v>
      </c>
      <c r="H13" s="348">
        <v>0</v>
      </c>
      <c r="I13" s="349">
        <v>0</v>
      </c>
      <c r="J13" s="465">
        <v>0</v>
      </c>
      <c r="K13" s="337">
        <f t="shared" si="7"/>
        <v>0</v>
      </c>
      <c r="L13" s="341"/>
      <c r="M13" s="341"/>
      <c r="N13" s="366"/>
      <c r="O13" s="352"/>
      <c r="P13" s="351"/>
      <c r="Q13" s="351"/>
    </row>
    <row r="14" spans="1:21" s="345" customFormat="1" ht="21.75" customHeight="1">
      <c r="A14" s="359" t="s">
        <v>381</v>
      </c>
      <c r="B14" s="356">
        <v>46</v>
      </c>
      <c r="C14" s="337">
        <f t="shared" si="0"/>
        <v>5.0163576881134135</v>
      </c>
      <c r="D14" s="337"/>
      <c r="E14" s="727">
        <v>3</v>
      </c>
      <c r="F14" s="337">
        <f t="shared" si="1"/>
        <v>0.48465266558966075</v>
      </c>
      <c r="G14" s="348">
        <v>9750</v>
      </c>
      <c r="H14" s="348">
        <v>3300</v>
      </c>
      <c r="I14" s="349">
        <v>3000</v>
      </c>
      <c r="J14" s="349">
        <v>5400</v>
      </c>
      <c r="K14" s="384">
        <f t="shared" si="2"/>
        <v>30.76923076923077</v>
      </c>
      <c r="L14" s="341"/>
      <c r="M14" s="341"/>
      <c r="N14" s="355"/>
      <c r="O14" s="352"/>
      <c r="P14" s="351"/>
      <c r="Q14" s="351"/>
    </row>
    <row r="15" spans="1:21" s="358" customFormat="1" ht="21.75" customHeight="1">
      <c r="A15" s="359" t="s">
        <v>111</v>
      </c>
      <c r="B15" s="128">
        <v>1</v>
      </c>
      <c r="C15" s="337">
        <f t="shared" si="0"/>
        <v>0.10905125408942204</v>
      </c>
      <c r="D15" s="337"/>
      <c r="E15" s="727">
        <v>1</v>
      </c>
      <c r="F15" s="337">
        <f t="shared" si="1"/>
        <v>0.16155088852988692</v>
      </c>
      <c r="G15" s="348">
        <v>1000</v>
      </c>
      <c r="H15" s="348">
        <v>750</v>
      </c>
      <c r="I15" s="349">
        <v>700</v>
      </c>
      <c r="J15" s="349">
        <v>1000</v>
      </c>
      <c r="K15" s="384">
        <f t="shared" si="2"/>
        <v>70</v>
      </c>
      <c r="L15" s="341"/>
      <c r="M15" s="341"/>
      <c r="N15" s="355"/>
      <c r="O15" s="352"/>
      <c r="P15" s="351"/>
      <c r="Q15" s="351"/>
    </row>
    <row r="16" spans="1:21" s="358" customFormat="1" ht="21.75" customHeight="1">
      <c r="A16" s="359" t="s">
        <v>112</v>
      </c>
      <c r="B16" s="360">
        <v>20</v>
      </c>
      <c r="C16" s="337">
        <f t="shared" si="0"/>
        <v>2.1810250817884405</v>
      </c>
      <c r="D16" s="337"/>
      <c r="E16" s="727">
        <v>20</v>
      </c>
      <c r="F16" s="337">
        <f t="shared" si="1"/>
        <v>3.2310177705977381</v>
      </c>
      <c r="G16" s="348">
        <v>1320</v>
      </c>
      <c r="H16" s="348">
        <v>150</v>
      </c>
      <c r="I16" s="349">
        <v>100</v>
      </c>
      <c r="J16" s="349">
        <v>175</v>
      </c>
      <c r="K16" s="384">
        <f t="shared" si="2"/>
        <v>7.5757575757575761</v>
      </c>
      <c r="L16" s="341"/>
      <c r="M16" s="341"/>
      <c r="N16" s="351"/>
      <c r="O16" s="352"/>
      <c r="P16" s="351"/>
      <c r="Q16" s="351"/>
    </row>
    <row r="17" spans="1:17" s="358" customFormat="1" ht="21.75" customHeight="1">
      <c r="A17" s="359" t="s">
        <v>113</v>
      </c>
      <c r="B17" s="360">
        <v>5</v>
      </c>
      <c r="C17" s="337">
        <f t="shared" si="0"/>
        <v>0.54525627044711011</v>
      </c>
      <c r="D17" s="337"/>
      <c r="E17" s="727">
        <v>5</v>
      </c>
      <c r="F17" s="337">
        <f t="shared" si="1"/>
        <v>0.80775444264943452</v>
      </c>
      <c r="G17" s="348">
        <v>1356</v>
      </c>
      <c r="H17" s="348">
        <v>1340</v>
      </c>
      <c r="I17" s="349">
        <v>1300</v>
      </c>
      <c r="J17" s="349">
        <v>1400</v>
      </c>
      <c r="K17" s="384">
        <f t="shared" si="2"/>
        <v>95.87020648967551</v>
      </c>
      <c r="L17" s="341"/>
      <c r="M17" s="341"/>
      <c r="N17" s="351"/>
      <c r="O17" s="352"/>
      <c r="P17" s="351"/>
      <c r="Q17" s="351"/>
    </row>
    <row r="18" spans="1:17" s="358" customFormat="1" ht="21.75" customHeight="1">
      <c r="A18" s="359" t="s">
        <v>114</v>
      </c>
      <c r="B18" s="360">
        <v>0</v>
      </c>
      <c r="C18" s="337">
        <f t="shared" si="0"/>
        <v>0</v>
      </c>
      <c r="D18" s="337"/>
      <c r="E18" s="727">
        <v>0</v>
      </c>
      <c r="F18" s="337">
        <f t="shared" si="1"/>
        <v>0</v>
      </c>
      <c r="G18" s="348">
        <v>0</v>
      </c>
      <c r="H18" s="348">
        <v>0</v>
      </c>
      <c r="I18" s="349">
        <v>0</v>
      </c>
      <c r="J18" s="349">
        <v>0</v>
      </c>
      <c r="K18" s="384">
        <v>0</v>
      </c>
      <c r="L18" s="341"/>
      <c r="M18" s="341"/>
      <c r="N18" s="351"/>
      <c r="O18" s="352"/>
      <c r="P18" s="351"/>
      <c r="Q18" s="351"/>
    </row>
    <row r="19" spans="1:17" s="358" customFormat="1" ht="21.75" customHeight="1">
      <c r="A19" s="359" t="s">
        <v>115</v>
      </c>
      <c r="B19" s="128">
        <v>0</v>
      </c>
      <c r="C19" s="337">
        <f t="shared" si="0"/>
        <v>0</v>
      </c>
      <c r="D19" s="337"/>
      <c r="E19" s="727">
        <v>0</v>
      </c>
      <c r="F19" s="337">
        <f t="shared" si="1"/>
        <v>0</v>
      </c>
      <c r="G19" s="348">
        <v>0</v>
      </c>
      <c r="H19" s="348">
        <v>0</v>
      </c>
      <c r="I19" s="349">
        <v>0</v>
      </c>
      <c r="J19" s="465">
        <v>0</v>
      </c>
      <c r="K19" s="337">
        <f t="shared" ref="K19:K20" si="8">J19/144*100</f>
        <v>0</v>
      </c>
      <c r="L19" s="341"/>
      <c r="M19" s="341"/>
      <c r="N19" s="351"/>
      <c r="O19" s="352"/>
      <c r="P19" s="351"/>
      <c r="Q19" s="351"/>
    </row>
    <row r="20" spans="1:17" s="358" customFormat="1" ht="21.75" customHeight="1" thickBot="1">
      <c r="A20" s="362" t="s">
        <v>116</v>
      </c>
      <c r="B20" s="128">
        <v>0</v>
      </c>
      <c r="C20" s="337">
        <f t="shared" si="0"/>
        <v>0</v>
      </c>
      <c r="D20" s="337"/>
      <c r="E20" s="727">
        <v>0</v>
      </c>
      <c r="F20" s="337">
        <f t="shared" si="1"/>
        <v>0</v>
      </c>
      <c r="G20" s="348">
        <v>0</v>
      </c>
      <c r="H20" s="348">
        <v>0</v>
      </c>
      <c r="I20" s="349">
        <v>0</v>
      </c>
      <c r="J20" s="465">
        <v>0</v>
      </c>
      <c r="K20" s="337">
        <f t="shared" si="8"/>
        <v>0</v>
      </c>
      <c r="L20" s="341"/>
      <c r="M20" s="341"/>
      <c r="N20" s="351"/>
      <c r="O20" s="352"/>
      <c r="P20" s="351"/>
      <c r="Q20" s="351"/>
    </row>
    <row r="21" spans="1:17" s="345" customFormat="1" ht="21.75" customHeight="1" thickTop="1" thickBot="1">
      <c r="A21" s="374" t="s">
        <v>410</v>
      </c>
      <c r="B21" s="376">
        <f>SUM(B5:B20)</f>
        <v>917</v>
      </c>
      <c r="C21" s="388">
        <f t="shared" si="0"/>
        <v>100</v>
      </c>
      <c r="D21" s="388"/>
      <c r="E21" s="376">
        <f>SUM(E5:E20)</f>
        <v>619</v>
      </c>
      <c r="F21" s="388">
        <f t="shared" si="1"/>
        <v>100</v>
      </c>
      <c r="G21" s="376">
        <f>SUM(G5:G20)</f>
        <v>147406</v>
      </c>
      <c r="H21" s="376">
        <f>SUM(H5:H20)</f>
        <v>95557</v>
      </c>
      <c r="I21" s="376">
        <f>SUM(I5:I20)</f>
        <v>95117</v>
      </c>
      <c r="J21" s="376">
        <f>SUM(J5:J20)</f>
        <v>104839</v>
      </c>
      <c r="K21" s="388">
        <f t="shared" si="2"/>
        <v>64.527224129275609</v>
      </c>
      <c r="L21" s="364"/>
      <c r="M21" s="364"/>
      <c r="N21" s="364"/>
      <c r="O21" s="352"/>
      <c r="P21" s="351"/>
      <c r="Q21" s="351"/>
    </row>
    <row r="22" spans="1:17" s="345" customFormat="1" ht="21.7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 s="1032"/>
      <c r="I22" s="814"/>
      <c r="J22" s="814"/>
      <c r="K22" s="364"/>
      <c r="L22" s="352"/>
      <c r="M22" s="351"/>
      <c r="N22" s="351"/>
    </row>
    <row r="23" spans="1:17" s="345" customFormat="1" ht="21.75" customHeight="1">
      <c r="A23" s="961" t="s">
        <v>432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364"/>
      <c r="L23" s="364"/>
      <c r="M23" s="352"/>
      <c r="N23" s="351"/>
      <c r="O23" s="351"/>
    </row>
    <row r="24" spans="1:17" s="345" customFormat="1" ht="21.75" customHeight="1" thickBot="1">
      <c r="A24" s="1031"/>
      <c r="B24" s="1031"/>
      <c r="C24" s="1031"/>
      <c r="D24" s="1031"/>
      <c r="E24" s="1031"/>
      <c r="F24" s="1031"/>
      <c r="G24" s="1031"/>
      <c r="H24" s="1031"/>
      <c r="I24" s="1031"/>
      <c r="J24" s="1031"/>
      <c r="K24" s="364"/>
      <c r="L24" s="364"/>
      <c r="M24" s="352"/>
      <c r="N24" s="351"/>
      <c r="O24" s="351"/>
    </row>
    <row r="25" spans="1:17" ht="21.75" customHeight="1">
      <c r="A25" s="1027" t="s">
        <v>336</v>
      </c>
      <c r="B25" s="1027"/>
      <c r="C25" s="1027"/>
      <c r="D25" s="1027"/>
      <c r="E25" s="1027"/>
      <c r="F25" s="1027"/>
      <c r="G25" s="1027"/>
      <c r="H25" s="1027"/>
      <c r="I25" s="1027"/>
      <c r="J25" s="1027"/>
      <c r="K25" s="466">
        <v>36</v>
      </c>
      <c r="L25" s="18"/>
      <c r="M25" s="18"/>
      <c r="N25" s="18"/>
      <c r="O25" s="18"/>
      <c r="P25" s="18"/>
      <c r="Q25" s="18"/>
    </row>
    <row r="26" spans="1:17">
      <c r="L26" s="18"/>
      <c r="M26" s="18"/>
      <c r="N26" s="18"/>
      <c r="O26" s="18"/>
      <c r="P26" s="18"/>
      <c r="Q26" s="18"/>
    </row>
    <row r="27" spans="1:17">
      <c r="L27" s="18"/>
      <c r="M27" s="18"/>
      <c r="N27" s="18"/>
      <c r="O27" s="18"/>
      <c r="P27" s="18"/>
      <c r="Q27" s="18"/>
    </row>
    <row r="28" spans="1:17">
      <c r="L28" s="18"/>
      <c r="M28" s="18"/>
      <c r="N28" s="18"/>
      <c r="O28" s="18"/>
      <c r="P28" s="18"/>
      <c r="Q28" s="18"/>
    </row>
    <row r="29" spans="1:17">
      <c r="L29" s="18"/>
      <c r="M29" s="18"/>
      <c r="N29" s="18"/>
      <c r="O29" s="18"/>
      <c r="P29" s="18"/>
      <c r="Q29" s="18"/>
    </row>
    <row r="30" spans="1:17">
      <c r="L30" s="18"/>
      <c r="M30" s="18"/>
      <c r="N30" s="18"/>
      <c r="O30" s="18"/>
      <c r="P30" s="18"/>
      <c r="Q30" s="18"/>
    </row>
  </sheetData>
  <mergeCells count="12">
    <mergeCell ref="E3:F3"/>
    <mergeCell ref="J3:J4"/>
    <mergeCell ref="A1:K1"/>
    <mergeCell ref="A2:K2"/>
    <mergeCell ref="A3:A4"/>
    <mergeCell ref="B3:C3"/>
    <mergeCell ref="K3:K4"/>
    <mergeCell ref="N7:T7"/>
    <mergeCell ref="A23:J23"/>
    <mergeCell ref="A24:J24"/>
    <mergeCell ref="A25:J25"/>
    <mergeCell ref="A22:H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S26"/>
  <sheetViews>
    <sheetView rightToLeft="1" view="pageBreakPreview" topLeftCell="A16" zoomScale="110" zoomScaleSheetLayoutView="110" workbookViewId="0">
      <selection activeCell="I25" sqref="I25"/>
    </sheetView>
  </sheetViews>
  <sheetFormatPr defaultColWidth="10.375" defaultRowHeight="14.25"/>
  <cols>
    <col min="1" max="1" width="11.625" customWidth="1"/>
    <col min="2" max="2" width="12.25" customWidth="1"/>
    <col min="3" max="3" width="10.125" customWidth="1"/>
    <col min="4" max="6" width="15.25" customWidth="1"/>
    <col min="7" max="7" width="12.875" customWidth="1"/>
    <col min="8" max="8" width="11.625" customWidth="1"/>
    <col min="9" max="9" width="12.125" customWidth="1"/>
    <col min="10" max="10" width="15.25" customWidth="1"/>
  </cols>
  <sheetData>
    <row r="1" spans="1:19" ht="23.25" customHeight="1">
      <c r="A1" s="1034" t="s">
        <v>469</v>
      </c>
      <c r="B1" s="1034"/>
      <c r="C1" s="1034"/>
      <c r="D1" s="1034"/>
      <c r="E1" s="1034"/>
      <c r="F1" s="1034"/>
      <c r="G1" s="1034"/>
      <c r="H1" s="1034"/>
      <c r="I1" s="1034"/>
      <c r="J1" s="1034"/>
    </row>
    <row r="2" spans="1:19" ht="23.25" customHeight="1" thickBot="1">
      <c r="A2" s="1038" t="s">
        <v>349</v>
      </c>
      <c r="B2" s="1038"/>
      <c r="C2" s="1038"/>
      <c r="D2" s="1038"/>
      <c r="E2" s="1038"/>
      <c r="F2" s="1038"/>
      <c r="G2" s="1038"/>
      <c r="H2" s="1038"/>
      <c r="I2" s="1038"/>
      <c r="J2" s="1038"/>
    </row>
    <row r="3" spans="1:19" ht="23.25" customHeight="1" thickTop="1">
      <c r="A3" s="984" t="s">
        <v>103</v>
      </c>
      <c r="B3" s="989" t="s">
        <v>348</v>
      </c>
      <c r="C3" s="989"/>
      <c r="D3" s="984" t="s">
        <v>339</v>
      </c>
      <c r="E3" s="984" t="s">
        <v>340</v>
      </c>
      <c r="F3" s="984" t="s">
        <v>343</v>
      </c>
      <c r="G3" s="989" t="s">
        <v>646</v>
      </c>
      <c r="H3" s="989"/>
      <c r="I3" s="989"/>
      <c r="J3" s="984" t="s">
        <v>342</v>
      </c>
    </row>
    <row r="4" spans="1:19" ht="23.25" customHeight="1">
      <c r="A4" s="992"/>
      <c r="B4" s="259" t="s">
        <v>383</v>
      </c>
      <c r="C4" s="259" t="s">
        <v>335</v>
      </c>
      <c r="D4" s="992"/>
      <c r="E4" s="992"/>
      <c r="F4" s="992"/>
      <c r="G4" s="373" t="s">
        <v>379</v>
      </c>
      <c r="H4" s="373" t="s">
        <v>380</v>
      </c>
      <c r="I4" s="373" t="s">
        <v>47</v>
      </c>
      <c r="J4" s="985"/>
    </row>
    <row r="5" spans="1:19" ht="23.25" customHeight="1">
      <c r="A5" s="336" t="s">
        <v>104</v>
      </c>
      <c r="B5" s="127">
        <v>0</v>
      </c>
      <c r="C5" s="337">
        <f>B5/449*100</f>
        <v>0</v>
      </c>
      <c r="D5" s="338">
        <v>0</v>
      </c>
      <c r="E5" s="338">
        <v>0</v>
      </c>
      <c r="F5" s="338">
        <v>0</v>
      </c>
      <c r="G5" s="340">
        <v>0</v>
      </c>
      <c r="H5" s="340">
        <v>0</v>
      </c>
      <c r="I5" s="340">
        <f t="shared" ref="I5:I21" si="0">SUM(G5:H5)</f>
        <v>0</v>
      </c>
      <c r="J5" s="628">
        <v>0</v>
      </c>
    </row>
    <row r="6" spans="1:19" s="390" customFormat="1" ht="23.25" customHeight="1">
      <c r="A6" s="336" t="s">
        <v>105</v>
      </c>
      <c r="B6" s="127">
        <v>4</v>
      </c>
      <c r="C6" s="337">
        <f t="shared" ref="C6:C21" si="1">B6/449*100</f>
        <v>0.89086859688195985</v>
      </c>
      <c r="D6" s="338">
        <v>175</v>
      </c>
      <c r="E6" s="338">
        <v>0</v>
      </c>
      <c r="F6" s="338">
        <v>0</v>
      </c>
      <c r="G6" s="340">
        <v>0</v>
      </c>
      <c r="H6" s="340">
        <v>0</v>
      </c>
      <c r="I6" s="340">
        <f t="shared" si="0"/>
        <v>0</v>
      </c>
      <c r="J6" s="629">
        <f t="shared" ref="J6:J21" si="2">F6/D6*100</f>
        <v>0</v>
      </c>
      <c r="K6" s="389"/>
      <c r="M6" s="391"/>
    </row>
    <row r="7" spans="1:19" s="390" customFormat="1" ht="23.25" customHeight="1">
      <c r="A7" s="346" t="s">
        <v>106</v>
      </c>
      <c r="B7" s="128">
        <v>38</v>
      </c>
      <c r="C7" s="337">
        <f t="shared" si="1"/>
        <v>8.463251670378618</v>
      </c>
      <c r="D7" s="348">
        <v>660</v>
      </c>
      <c r="E7" s="348">
        <v>660</v>
      </c>
      <c r="F7" s="349">
        <v>660</v>
      </c>
      <c r="G7" s="350">
        <v>667</v>
      </c>
      <c r="H7" s="350">
        <v>0</v>
      </c>
      <c r="I7" s="340">
        <f t="shared" si="0"/>
        <v>667</v>
      </c>
      <c r="J7" s="629">
        <f t="shared" si="2"/>
        <v>100</v>
      </c>
      <c r="K7" s="389"/>
      <c r="L7" s="392"/>
      <c r="M7" s="392"/>
      <c r="N7" s="392"/>
      <c r="O7" s="392"/>
      <c r="P7" s="393"/>
      <c r="Q7" s="394"/>
      <c r="R7" s="394"/>
      <c r="S7" s="394"/>
    </row>
    <row r="8" spans="1:19" s="390" customFormat="1" ht="23.25" customHeight="1">
      <c r="A8" s="346" t="s">
        <v>448</v>
      </c>
      <c r="B8" s="128">
        <v>39</v>
      </c>
      <c r="C8" s="337">
        <f t="shared" si="1"/>
        <v>8.6859688195991094</v>
      </c>
      <c r="D8" s="348">
        <v>105</v>
      </c>
      <c r="E8" s="348">
        <v>0</v>
      </c>
      <c r="F8" s="349">
        <v>0</v>
      </c>
      <c r="G8" s="350">
        <v>0</v>
      </c>
      <c r="H8" s="350">
        <v>0</v>
      </c>
      <c r="I8" s="340">
        <f t="shared" si="0"/>
        <v>0</v>
      </c>
      <c r="J8" s="629">
        <f t="shared" si="2"/>
        <v>0</v>
      </c>
      <c r="K8" s="389"/>
      <c r="L8" s="392"/>
      <c r="M8" s="392"/>
      <c r="N8" s="392"/>
      <c r="O8" s="392"/>
      <c r="P8" s="393"/>
      <c r="Q8" s="394"/>
      <c r="R8" s="394"/>
      <c r="S8" s="394"/>
    </row>
    <row r="9" spans="1:19" s="390" customFormat="1" ht="23.25" customHeight="1">
      <c r="A9" s="395" t="s">
        <v>117</v>
      </c>
      <c r="B9" s="128">
        <v>0</v>
      </c>
      <c r="C9" s="337">
        <f t="shared" si="1"/>
        <v>0</v>
      </c>
      <c r="D9" s="348">
        <v>0</v>
      </c>
      <c r="E9" s="348">
        <v>0</v>
      </c>
      <c r="F9" s="349">
        <v>0</v>
      </c>
      <c r="G9" s="350">
        <v>0</v>
      </c>
      <c r="H9" s="350">
        <v>0</v>
      </c>
      <c r="I9" s="340">
        <f t="shared" si="0"/>
        <v>0</v>
      </c>
      <c r="J9" s="337">
        <f t="shared" ref="J9" si="3">I9/356*100</f>
        <v>0</v>
      </c>
      <c r="K9" s="389"/>
      <c r="L9" s="396"/>
      <c r="M9" s="397"/>
      <c r="N9" s="398"/>
      <c r="O9" s="398"/>
      <c r="P9" s="399"/>
      <c r="Q9" s="399"/>
      <c r="R9" s="399"/>
    </row>
    <row r="10" spans="1:19" s="390" customFormat="1" ht="23.25" customHeight="1">
      <c r="A10" s="395" t="s">
        <v>108</v>
      </c>
      <c r="B10" s="360">
        <v>22</v>
      </c>
      <c r="C10" s="337">
        <f t="shared" si="1"/>
        <v>4.8997772828507795</v>
      </c>
      <c r="D10" s="348">
        <v>832</v>
      </c>
      <c r="E10" s="348">
        <v>191</v>
      </c>
      <c r="F10" s="349">
        <v>174</v>
      </c>
      <c r="G10" s="350">
        <v>191</v>
      </c>
      <c r="H10" s="350">
        <v>0</v>
      </c>
      <c r="I10" s="340">
        <f t="shared" si="0"/>
        <v>191</v>
      </c>
      <c r="J10" s="629">
        <f t="shared" si="2"/>
        <v>20.91346153846154</v>
      </c>
      <c r="K10" s="389"/>
      <c r="L10" s="396"/>
      <c r="M10" s="397"/>
      <c r="N10" s="398"/>
      <c r="O10" s="398"/>
      <c r="P10" s="399"/>
      <c r="Q10" s="399"/>
      <c r="R10" s="399"/>
    </row>
    <row r="11" spans="1:19" s="390" customFormat="1" ht="23.25" customHeight="1">
      <c r="A11" s="395" t="s">
        <v>110</v>
      </c>
      <c r="B11" s="360">
        <v>47</v>
      </c>
      <c r="C11" s="337">
        <f t="shared" si="1"/>
        <v>10.46770601336303</v>
      </c>
      <c r="D11" s="348">
        <v>1668</v>
      </c>
      <c r="E11" s="348">
        <v>1584</v>
      </c>
      <c r="F11" s="349">
        <v>1417</v>
      </c>
      <c r="G11" s="350">
        <v>1834</v>
      </c>
      <c r="H11" s="350">
        <v>0</v>
      </c>
      <c r="I11" s="340">
        <f t="shared" si="0"/>
        <v>1834</v>
      </c>
      <c r="J11" s="629">
        <f t="shared" si="2"/>
        <v>84.95203836930456</v>
      </c>
      <c r="K11" s="389"/>
      <c r="L11" s="396"/>
      <c r="M11" s="397"/>
      <c r="N11" s="396"/>
      <c r="O11" s="396"/>
    </row>
    <row r="12" spans="1:19" s="390" customFormat="1" ht="23.25" customHeight="1">
      <c r="A12" s="395" t="s">
        <v>102</v>
      </c>
      <c r="B12" s="128">
        <v>12</v>
      </c>
      <c r="C12" s="337">
        <f t="shared" si="1"/>
        <v>2.6726057906458798</v>
      </c>
      <c r="D12" s="348">
        <v>528</v>
      </c>
      <c r="E12" s="348">
        <v>0</v>
      </c>
      <c r="F12" s="349">
        <v>0</v>
      </c>
      <c r="G12" s="361">
        <v>0</v>
      </c>
      <c r="H12" s="357">
        <v>0</v>
      </c>
      <c r="I12" s="340">
        <f t="shared" si="0"/>
        <v>0</v>
      </c>
      <c r="J12" s="629">
        <f t="shared" si="2"/>
        <v>0</v>
      </c>
      <c r="K12" s="1039"/>
      <c r="L12" s="1039"/>
      <c r="M12" s="1039"/>
      <c r="N12" s="1039"/>
      <c r="O12" s="1039"/>
      <c r="P12" s="1039"/>
      <c r="Q12" s="1039"/>
      <c r="R12" s="1039"/>
    </row>
    <row r="13" spans="1:19" s="390" customFormat="1" ht="23.25" customHeight="1">
      <c r="A13" s="395" t="s">
        <v>109</v>
      </c>
      <c r="B13" s="128">
        <v>29</v>
      </c>
      <c r="C13" s="337">
        <f t="shared" si="1"/>
        <v>6.4587973273942101</v>
      </c>
      <c r="D13" s="348">
        <v>426</v>
      </c>
      <c r="E13" s="348">
        <v>222</v>
      </c>
      <c r="F13" s="349">
        <v>222</v>
      </c>
      <c r="G13" s="350">
        <v>270</v>
      </c>
      <c r="H13" s="350">
        <v>0</v>
      </c>
      <c r="I13" s="340">
        <f t="shared" si="0"/>
        <v>270</v>
      </c>
      <c r="J13" s="629">
        <f t="shared" si="2"/>
        <v>52.112676056338024</v>
      </c>
      <c r="K13" s="389"/>
      <c r="L13" s="396"/>
      <c r="M13" s="397"/>
      <c r="N13" s="396"/>
      <c r="O13" s="396"/>
    </row>
    <row r="14" spans="1:19" s="390" customFormat="1" ht="23.25" customHeight="1">
      <c r="A14" s="400" t="s">
        <v>107</v>
      </c>
      <c r="B14" s="356">
        <v>49</v>
      </c>
      <c r="C14" s="337">
        <f t="shared" si="1"/>
        <v>10.913140311804009</v>
      </c>
      <c r="D14" s="348">
        <v>750</v>
      </c>
      <c r="E14" s="348">
        <v>112</v>
      </c>
      <c r="F14" s="349">
        <v>102</v>
      </c>
      <c r="G14" s="361">
        <v>245</v>
      </c>
      <c r="H14" s="361">
        <v>61</v>
      </c>
      <c r="I14" s="340">
        <f t="shared" si="0"/>
        <v>306</v>
      </c>
      <c r="J14" s="734">
        <f t="shared" si="2"/>
        <v>13.600000000000001</v>
      </c>
      <c r="K14" s="389"/>
      <c r="L14" s="396"/>
      <c r="M14" s="397"/>
      <c r="N14" s="396"/>
      <c r="O14" s="396"/>
    </row>
    <row r="15" spans="1:19" s="401" customFormat="1" ht="23.25" customHeight="1">
      <c r="A15" s="400" t="s">
        <v>111</v>
      </c>
      <c r="B15" s="128">
        <v>23</v>
      </c>
      <c r="C15" s="337">
        <f t="shared" si="1"/>
        <v>5.1224944320712691</v>
      </c>
      <c r="D15" s="348">
        <v>456</v>
      </c>
      <c r="E15" s="348">
        <v>16</v>
      </c>
      <c r="F15" s="349">
        <v>10</v>
      </c>
      <c r="G15" s="361">
        <v>12</v>
      </c>
      <c r="H15" s="361">
        <v>0</v>
      </c>
      <c r="I15" s="340">
        <f t="shared" si="0"/>
        <v>12</v>
      </c>
      <c r="J15" s="629">
        <f t="shared" si="2"/>
        <v>2.1929824561403506</v>
      </c>
      <c r="K15" s="389"/>
      <c r="L15" s="396"/>
      <c r="M15" s="397"/>
      <c r="N15" s="396"/>
      <c r="O15" s="396"/>
    </row>
    <row r="16" spans="1:19" s="401" customFormat="1" ht="23.25" customHeight="1">
      <c r="A16" s="400" t="s">
        <v>112</v>
      </c>
      <c r="B16" s="360">
        <v>57</v>
      </c>
      <c r="C16" s="337">
        <f t="shared" si="1"/>
        <v>12.694877505567929</v>
      </c>
      <c r="D16" s="348">
        <v>3170</v>
      </c>
      <c r="E16" s="348">
        <v>500</v>
      </c>
      <c r="F16" s="349">
        <v>500</v>
      </c>
      <c r="G16" s="361">
        <v>260</v>
      </c>
      <c r="H16" s="361">
        <v>460</v>
      </c>
      <c r="I16" s="340">
        <f t="shared" si="0"/>
        <v>720</v>
      </c>
      <c r="J16" s="629">
        <f t="shared" si="2"/>
        <v>15.772870662460567</v>
      </c>
      <c r="K16" s="389"/>
      <c r="L16" s="396"/>
      <c r="M16" s="397"/>
      <c r="N16" s="396"/>
      <c r="O16" s="396"/>
    </row>
    <row r="17" spans="1:15" s="401" customFormat="1" ht="23.25" customHeight="1">
      <c r="A17" s="400" t="s">
        <v>113</v>
      </c>
      <c r="B17" s="360">
        <v>28</v>
      </c>
      <c r="C17" s="337">
        <f t="shared" si="1"/>
        <v>6.2360801781737196</v>
      </c>
      <c r="D17" s="348">
        <v>560</v>
      </c>
      <c r="E17" s="348">
        <v>0</v>
      </c>
      <c r="F17" s="349">
        <v>0</v>
      </c>
      <c r="G17" s="361">
        <v>0</v>
      </c>
      <c r="H17" s="361">
        <v>0</v>
      </c>
      <c r="I17" s="340">
        <f t="shared" si="0"/>
        <v>0</v>
      </c>
      <c r="J17" s="629">
        <f t="shared" si="2"/>
        <v>0</v>
      </c>
      <c r="K17" s="389"/>
      <c r="L17" s="396"/>
      <c r="M17" s="397"/>
      <c r="N17" s="396"/>
      <c r="O17" s="396"/>
    </row>
    <row r="18" spans="1:15" s="401" customFormat="1" ht="23.25" customHeight="1">
      <c r="A18" s="400" t="s">
        <v>114</v>
      </c>
      <c r="B18" s="360">
        <v>54</v>
      </c>
      <c r="C18" s="337">
        <f t="shared" si="1"/>
        <v>12.026726057906458</v>
      </c>
      <c r="D18" s="348">
        <v>1500</v>
      </c>
      <c r="E18" s="348">
        <v>1500</v>
      </c>
      <c r="F18" s="349">
        <v>108</v>
      </c>
      <c r="G18" s="361">
        <v>150</v>
      </c>
      <c r="H18" s="361">
        <v>18</v>
      </c>
      <c r="I18" s="340">
        <f t="shared" si="0"/>
        <v>168</v>
      </c>
      <c r="J18" s="629">
        <f t="shared" si="2"/>
        <v>7.1999999999999993</v>
      </c>
      <c r="K18" s="389"/>
      <c r="L18" s="396"/>
      <c r="M18" s="397"/>
      <c r="N18" s="396"/>
      <c r="O18" s="396"/>
    </row>
    <row r="19" spans="1:15" s="401" customFormat="1" ht="23.25" customHeight="1">
      <c r="A19" s="400" t="s">
        <v>115</v>
      </c>
      <c r="B19" s="360">
        <v>22</v>
      </c>
      <c r="C19" s="337">
        <f t="shared" si="1"/>
        <v>4.8997772828507795</v>
      </c>
      <c r="D19" s="348">
        <v>1260</v>
      </c>
      <c r="E19" s="348">
        <v>0</v>
      </c>
      <c r="F19" s="349">
        <v>0</v>
      </c>
      <c r="G19" s="361">
        <v>0</v>
      </c>
      <c r="H19" s="361">
        <v>0</v>
      </c>
      <c r="I19" s="340">
        <f t="shared" si="0"/>
        <v>0</v>
      </c>
      <c r="J19" s="629">
        <f t="shared" si="2"/>
        <v>0</v>
      </c>
      <c r="K19" s="389"/>
      <c r="L19" s="396"/>
      <c r="M19" s="397"/>
      <c r="N19" s="396"/>
      <c r="O19" s="396"/>
    </row>
    <row r="20" spans="1:15" s="401" customFormat="1" ht="23.25" customHeight="1" thickBot="1">
      <c r="A20" s="402" t="s">
        <v>116</v>
      </c>
      <c r="B20" s="360">
        <v>25</v>
      </c>
      <c r="C20" s="337">
        <f t="shared" si="1"/>
        <v>5.56792873051225</v>
      </c>
      <c r="D20" s="348">
        <v>1608</v>
      </c>
      <c r="E20" s="348">
        <v>0</v>
      </c>
      <c r="F20" s="349">
        <v>0</v>
      </c>
      <c r="G20" s="361">
        <v>0</v>
      </c>
      <c r="H20" s="357">
        <v>0</v>
      </c>
      <c r="I20" s="340">
        <f t="shared" si="0"/>
        <v>0</v>
      </c>
      <c r="J20" s="735">
        <f t="shared" si="2"/>
        <v>0</v>
      </c>
      <c r="K20" s="389"/>
      <c r="L20" s="396"/>
      <c r="M20" s="397"/>
      <c r="N20" s="396"/>
      <c r="O20" s="396"/>
    </row>
    <row r="21" spans="1:15" s="390" customFormat="1" ht="23.25" customHeight="1" thickTop="1" thickBot="1">
      <c r="A21" s="374" t="s">
        <v>410</v>
      </c>
      <c r="B21" s="375">
        <f>SUM(B5:B20)</f>
        <v>449</v>
      </c>
      <c r="C21" s="378">
        <f t="shared" si="1"/>
        <v>100</v>
      </c>
      <c r="D21" s="377">
        <f>SUM(D5:D20)</f>
        <v>13698</v>
      </c>
      <c r="E21" s="377">
        <f>SUM(E5:E20)</f>
        <v>4785</v>
      </c>
      <c r="F21" s="377">
        <f>SUM(F5:F20)</f>
        <v>3193</v>
      </c>
      <c r="G21" s="377">
        <f>SUM(G5:G20)</f>
        <v>3629</v>
      </c>
      <c r="H21" s="377">
        <f>SUM(H5:H20)</f>
        <v>539</v>
      </c>
      <c r="I21" s="377">
        <f t="shared" si="0"/>
        <v>4168</v>
      </c>
      <c r="J21" s="378">
        <f t="shared" si="2"/>
        <v>23.309972258723903</v>
      </c>
      <c r="K21" s="403"/>
      <c r="L21" s="403"/>
      <c r="M21" s="397"/>
      <c r="N21" s="396"/>
      <c r="O21" s="396"/>
    </row>
    <row r="22" spans="1:15" s="345" customFormat="1" ht="19.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/>
      <c r="I22"/>
      <c r="J22"/>
      <c r="K22" s="364"/>
      <c r="L22" s="352"/>
      <c r="M22" s="351"/>
      <c r="N22" s="351"/>
    </row>
    <row r="23" spans="1:15" s="345" customFormat="1" ht="19.5" customHeight="1">
      <c r="A23" s="961" t="s">
        <v>432</v>
      </c>
      <c r="B23" s="961"/>
      <c r="C23" s="961"/>
      <c r="D23" s="961"/>
      <c r="E23" s="961"/>
      <c r="F23" s="961"/>
      <c r="G23" s="961"/>
      <c r="H23" s="369"/>
      <c r="I23" s="369"/>
      <c r="J23" s="371"/>
      <c r="K23" s="364"/>
      <c r="L23" s="364"/>
      <c r="M23" s="352"/>
      <c r="N23" s="351"/>
      <c r="O23" s="351"/>
    </row>
    <row r="24" spans="1:15" s="345" customFormat="1" ht="19.5" customHeight="1" thickBot="1">
      <c r="A24" s="1031"/>
      <c r="B24" s="1031"/>
      <c r="C24" s="1031"/>
      <c r="D24" s="1031"/>
      <c r="E24" s="1031"/>
      <c r="F24" s="1031"/>
      <c r="G24" s="1031"/>
      <c r="H24" s="369"/>
      <c r="I24" s="369"/>
      <c r="J24" s="371"/>
      <c r="K24" s="364"/>
      <c r="L24" s="364"/>
      <c r="M24" s="352"/>
      <c r="N24" s="351"/>
      <c r="O24" s="351"/>
    </row>
    <row r="25" spans="1:15" ht="19.5" customHeight="1">
      <c r="A25" s="1027" t="s">
        <v>336</v>
      </c>
      <c r="B25" s="1027"/>
      <c r="C25" s="1027"/>
      <c r="D25" s="1027"/>
      <c r="E25" s="1027"/>
      <c r="F25" s="1027"/>
      <c r="G25" s="372"/>
      <c r="H25" s="372"/>
      <c r="I25" s="372"/>
      <c r="J25" s="466">
        <v>37</v>
      </c>
      <c r="K25" s="18"/>
      <c r="L25" s="18"/>
      <c r="M25" s="18"/>
      <c r="N25" s="18"/>
      <c r="O25" s="18"/>
    </row>
    <row r="26" spans="1:15" ht="18.75" customHeight="1"/>
  </sheetData>
  <mergeCells count="14">
    <mergeCell ref="A23:G23"/>
    <mergeCell ref="A24:G24"/>
    <mergeCell ref="A25:F25"/>
    <mergeCell ref="J3:J4"/>
    <mergeCell ref="K12:R12"/>
    <mergeCell ref="A22:G22"/>
    <mergeCell ref="A1:J1"/>
    <mergeCell ref="A2:J2"/>
    <mergeCell ref="A3:A4"/>
    <mergeCell ref="B3:C3"/>
    <mergeCell ref="D3:D4"/>
    <mergeCell ref="E3:E4"/>
    <mergeCell ref="F3:F4"/>
    <mergeCell ref="G3:I3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E25"/>
  <sheetViews>
    <sheetView rightToLeft="1" view="pageBreakPreview" topLeftCell="A16" zoomScale="110" zoomScaleSheetLayoutView="110" workbookViewId="0">
      <selection activeCell="L2" sqref="L1:O1048576"/>
    </sheetView>
  </sheetViews>
  <sheetFormatPr defaultRowHeight="14.25"/>
  <cols>
    <col min="1" max="1" width="8.375" customWidth="1"/>
    <col min="2" max="5" width="5.625" customWidth="1"/>
    <col min="6" max="6" width="0.875" customWidth="1"/>
    <col min="7" max="10" width="5.625" customWidth="1"/>
    <col min="11" max="11" width="1.125" customWidth="1"/>
    <col min="12" max="15" width="4.625" customWidth="1"/>
    <col min="16" max="16" width="1.125" customWidth="1"/>
    <col min="17" max="20" width="5.625" customWidth="1"/>
    <col min="21" max="21" width="0.5" customWidth="1"/>
    <col min="22" max="24" width="5.625" customWidth="1"/>
    <col min="25" max="25" width="4.625" customWidth="1"/>
    <col min="26" max="26" width="0.875" customWidth="1"/>
    <col min="27" max="30" width="5.625" customWidth="1"/>
  </cols>
  <sheetData>
    <row r="1" spans="1:31" ht="26.25" customHeight="1">
      <c r="A1" s="1044" t="s">
        <v>470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1044"/>
      <c r="N1" s="1044"/>
      <c r="O1" s="1044"/>
      <c r="P1" s="1044"/>
      <c r="Q1" s="1044"/>
      <c r="R1" s="1044"/>
      <c r="S1" s="1044"/>
      <c r="T1" s="1044"/>
      <c r="U1" s="1044"/>
      <c r="V1" s="1044"/>
      <c r="W1" s="1044"/>
      <c r="X1" s="1044"/>
      <c r="Y1" s="1044"/>
      <c r="Z1" s="1044"/>
      <c r="AA1" s="1044"/>
      <c r="AB1" s="1044"/>
      <c r="AC1" s="1044"/>
      <c r="AD1" s="1044"/>
    </row>
    <row r="2" spans="1:31" ht="26.25" customHeight="1" thickBot="1">
      <c r="A2" s="405" t="s">
        <v>352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</row>
    <row r="3" spans="1:31" ht="26.25" customHeight="1" thickTop="1">
      <c r="A3" s="1041" t="s">
        <v>103</v>
      </c>
      <c r="B3" s="1043" t="s">
        <v>351</v>
      </c>
      <c r="C3" s="1043"/>
      <c r="D3" s="1043"/>
      <c r="E3" s="1043"/>
      <c r="F3" s="462"/>
      <c r="G3" s="1043" t="s">
        <v>338</v>
      </c>
      <c r="H3" s="1043"/>
      <c r="I3" s="1043"/>
      <c r="J3" s="1043"/>
      <c r="K3" s="462"/>
      <c r="L3" s="1043" t="s">
        <v>345</v>
      </c>
      <c r="M3" s="1043"/>
      <c r="N3" s="1043"/>
      <c r="O3" s="1043"/>
      <c r="P3" s="462"/>
      <c r="Q3" s="1043" t="s">
        <v>486</v>
      </c>
      <c r="R3" s="1043"/>
      <c r="S3" s="1043"/>
      <c r="T3" s="1043"/>
      <c r="U3" s="654"/>
      <c r="V3" s="1043" t="s">
        <v>348</v>
      </c>
      <c r="W3" s="1043"/>
      <c r="X3" s="1043"/>
      <c r="Y3" s="1043"/>
      <c r="Z3" s="482"/>
      <c r="AA3" s="1043" t="s">
        <v>418</v>
      </c>
      <c r="AB3" s="1043"/>
      <c r="AC3" s="1043"/>
      <c r="AD3" s="1043"/>
    </row>
    <row r="4" spans="1:31" ht="26.25" customHeight="1">
      <c r="A4" s="1042"/>
      <c r="B4" s="268" t="s">
        <v>384</v>
      </c>
      <c r="C4" s="268" t="s">
        <v>386</v>
      </c>
      <c r="D4" s="268" t="s">
        <v>385</v>
      </c>
      <c r="E4" s="268" t="s">
        <v>47</v>
      </c>
      <c r="F4" s="412"/>
      <c r="G4" s="268" t="s">
        <v>384</v>
      </c>
      <c r="H4" s="268" t="s">
        <v>386</v>
      </c>
      <c r="I4" s="268" t="s">
        <v>385</v>
      </c>
      <c r="J4" s="268" t="s">
        <v>47</v>
      </c>
      <c r="K4" s="412"/>
      <c r="L4" s="268" t="s">
        <v>384</v>
      </c>
      <c r="M4" s="268" t="s">
        <v>387</v>
      </c>
      <c r="N4" s="268" t="s">
        <v>385</v>
      </c>
      <c r="O4" s="268" t="s">
        <v>47</v>
      </c>
      <c r="P4" s="412"/>
      <c r="Q4" s="268" t="s">
        <v>384</v>
      </c>
      <c r="R4" s="268" t="s">
        <v>387</v>
      </c>
      <c r="S4" s="268" t="s">
        <v>385</v>
      </c>
      <c r="T4" s="268" t="s">
        <v>47</v>
      </c>
      <c r="U4" s="412"/>
      <c r="V4" s="268" t="s">
        <v>384</v>
      </c>
      <c r="W4" s="268" t="s">
        <v>386</v>
      </c>
      <c r="X4" s="268" t="s">
        <v>385</v>
      </c>
      <c r="Y4" s="268" t="s">
        <v>47</v>
      </c>
      <c r="Z4" s="483"/>
      <c r="AA4" s="268" t="s">
        <v>384</v>
      </c>
      <c r="AB4" s="268" t="s">
        <v>386</v>
      </c>
      <c r="AC4" s="268" t="s">
        <v>385</v>
      </c>
      <c r="AD4" s="268" t="s">
        <v>47</v>
      </c>
    </row>
    <row r="5" spans="1:31" s="29" customFormat="1" ht="26.25" customHeight="1">
      <c r="A5" s="736" t="s">
        <v>104</v>
      </c>
      <c r="B5" s="733">
        <v>26</v>
      </c>
      <c r="C5" s="733">
        <v>1</v>
      </c>
      <c r="D5" s="733">
        <v>6</v>
      </c>
      <c r="E5" s="361">
        <f t="shared" ref="E5:E21" si="0">SUM(B5:D5)</f>
        <v>33</v>
      </c>
      <c r="F5" s="457"/>
      <c r="G5" s="733">
        <v>61</v>
      </c>
      <c r="H5" s="733">
        <v>0</v>
      </c>
      <c r="I5" s="733">
        <v>27</v>
      </c>
      <c r="J5" s="361">
        <f t="shared" ref="J5:J21" si="1">SUM(G5:I5)</f>
        <v>88</v>
      </c>
      <c r="K5" s="457"/>
      <c r="L5" s="733">
        <v>0</v>
      </c>
      <c r="M5" s="733">
        <v>0</v>
      </c>
      <c r="N5" s="733">
        <v>0</v>
      </c>
      <c r="O5" s="361">
        <f t="shared" ref="O5:O21" si="2">SUM(L5:N5)</f>
        <v>0</v>
      </c>
      <c r="P5" s="457"/>
      <c r="Q5" s="733">
        <v>319</v>
      </c>
      <c r="R5" s="733">
        <v>27</v>
      </c>
      <c r="S5" s="733">
        <v>129</v>
      </c>
      <c r="T5" s="361">
        <f t="shared" ref="T5:T21" si="3">SUM(Q5:S5)</f>
        <v>475</v>
      </c>
      <c r="U5" s="457"/>
      <c r="V5" s="733">
        <v>0</v>
      </c>
      <c r="W5" s="733">
        <v>0</v>
      </c>
      <c r="X5" s="733">
        <v>0</v>
      </c>
      <c r="Y5" s="737">
        <f t="shared" ref="Y5:Y21" si="4">SUM(V5:X5)</f>
        <v>0</v>
      </c>
      <c r="Z5" s="738"/>
      <c r="AA5" s="737">
        <f>B5+G5+L5+Q5+V5</f>
        <v>406</v>
      </c>
      <c r="AB5" s="739">
        <f>C5+H5+M5+R5+W5</f>
        <v>28</v>
      </c>
      <c r="AC5" s="737">
        <f>D5+I5+N5+S5+X5</f>
        <v>162</v>
      </c>
      <c r="AD5" s="737">
        <f t="shared" ref="AD5:AD21" si="5">SUM(AA5:AC5)</f>
        <v>596</v>
      </c>
    </row>
    <row r="6" spans="1:31" ht="22.5" customHeight="1">
      <c r="A6" s="336" t="s">
        <v>105</v>
      </c>
      <c r="B6" s="417">
        <v>3</v>
      </c>
      <c r="C6" s="417">
        <v>0</v>
      </c>
      <c r="D6" s="417">
        <v>0</v>
      </c>
      <c r="E6" s="361">
        <f t="shared" si="0"/>
        <v>3</v>
      </c>
      <c r="F6" s="456"/>
      <c r="G6" s="417">
        <v>11</v>
      </c>
      <c r="H6" s="417">
        <v>0</v>
      </c>
      <c r="I6" s="417">
        <v>1</v>
      </c>
      <c r="J6" s="361">
        <f t="shared" si="1"/>
        <v>12</v>
      </c>
      <c r="K6" s="456"/>
      <c r="L6" s="417">
        <v>6</v>
      </c>
      <c r="M6" s="417">
        <v>1</v>
      </c>
      <c r="N6" s="417">
        <v>2</v>
      </c>
      <c r="O6" s="361">
        <f t="shared" si="2"/>
        <v>9</v>
      </c>
      <c r="P6" s="456"/>
      <c r="Q6" s="417">
        <v>115</v>
      </c>
      <c r="R6" s="417">
        <v>0</v>
      </c>
      <c r="S6" s="417">
        <v>0</v>
      </c>
      <c r="T6" s="361">
        <f t="shared" si="3"/>
        <v>115</v>
      </c>
      <c r="U6" s="456"/>
      <c r="V6" s="417">
        <v>0</v>
      </c>
      <c r="W6" s="417">
        <v>0</v>
      </c>
      <c r="X6" s="417">
        <v>4</v>
      </c>
      <c r="Y6" s="361">
        <f t="shared" si="4"/>
        <v>4</v>
      </c>
      <c r="Z6" s="484"/>
      <c r="AA6" s="361">
        <f t="shared" ref="AA6:AA21" si="6">B6+G6+L6+Q6+V6</f>
        <v>135</v>
      </c>
      <c r="AB6" s="420">
        <f t="shared" ref="AB6:AB21" si="7">C6+H6+M6+R6+W6</f>
        <v>1</v>
      </c>
      <c r="AC6" s="361">
        <f t="shared" ref="AC6:AC21" si="8">D6+I6+N6+S6+X6</f>
        <v>7</v>
      </c>
      <c r="AD6" s="361">
        <f t="shared" si="5"/>
        <v>143</v>
      </c>
    </row>
    <row r="7" spans="1:31" ht="22.5" customHeight="1">
      <c r="A7" s="346" t="s">
        <v>106</v>
      </c>
      <c r="B7" s="419">
        <v>24</v>
      </c>
      <c r="C7" s="419">
        <v>0</v>
      </c>
      <c r="D7" s="419">
        <v>2</v>
      </c>
      <c r="E7" s="361">
        <f t="shared" si="0"/>
        <v>26</v>
      </c>
      <c r="F7" s="456"/>
      <c r="G7" s="419">
        <v>167</v>
      </c>
      <c r="H7" s="419">
        <v>0</v>
      </c>
      <c r="I7" s="419">
        <v>9</v>
      </c>
      <c r="J7" s="361">
        <f t="shared" si="1"/>
        <v>176</v>
      </c>
      <c r="K7" s="456"/>
      <c r="L7" s="419">
        <v>36</v>
      </c>
      <c r="M7" s="419">
        <v>0</v>
      </c>
      <c r="N7" s="419">
        <v>0</v>
      </c>
      <c r="O7" s="361">
        <f t="shared" si="2"/>
        <v>36</v>
      </c>
      <c r="P7" s="456"/>
      <c r="Q7" s="419">
        <v>0</v>
      </c>
      <c r="R7" s="419">
        <v>0</v>
      </c>
      <c r="S7" s="419">
        <v>0</v>
      </c>
      <c r="T7" s="361">
        <f t="shared" si="3"/>
        <v>0</v>
      </c>
      <c r="U7" s="456"/>
      <c r="V7" s="419">
        <v>38</v>
      </c>
      <c r="W7" s="419">
        <v>0</v>
      </c>
      <c r="X7" s="419">
        <v>0</v>
      </c>
      <c r="Y7" s="361">
        <f t="shared" si="4"/>
        <v>38</v>
      </c>
      <c r="Z7" s="484"/>
      <c r="AA7" s="361">
        <f t="shared" si="6"/>
        <v>265</v>
      </c>
      <c r="AB7" s="420">
        <f t="shared" si="7"/>
        <v>0</v>
      </c>
      <c r="AC7" s="361">
        <f t="shared" si="8"/>
        <v>11</v>
      </c>
      <c r="AD7" s="361">
        <f t="shared" si="5"/>
        <v>276</v>
      </c>
    </row>
    <row r="8" spans="1:31" s="29" customFormat="1" ht="22.5" customHeight="1">
      <c r="A8" s="359" t="s">
        <v>448</v>
      </c>
      <c r="B8" s="420">
        <v>20</v>
      </c>
      <c r="C8" s="420">
        <v>3</v>
      </c>
      <c r="D8" s="420">
        <v>1</v>
      </c>
      <c r="E8" s="361">
        <f t="shared" si="0"/>
        <v>24</v>
      </c>
      <c r="F8" s="457"/>
      <c r="G8" s="420">
        <v>303</v>
      </c>
      <c r="H8" s="420">
        <v>50</v>
      </c>
      <c r="I8" s="420">
        <v>14</v>
      </c>
      <c r="J8" s="361">
        <f t="shared" si="1"/>
        <v>367</v>
      </c>
      <c r="K8" s="457"/>
      <c r="L8" s="420">
        <v>2</v>
      </c>
      <c r="M8" s="420">
        <v>0</v>
      </c>
      <c r="N8" s="420">
        <v>3</v>
      </c>
      <c r="O8" s="361">
        <f t="shared" si="2"/>
        <v>5</v>
      </c>
      <c r="P8" s="457"/>
      <c r="Q8" s="420">
        <v>0</v>
      </c>
      <c r="R8" s="420">
        <v>0</v>
      </c>
      <c r="S8" s="420">
        <v>0</v>
      </c>
      <c r="T8" s="361">
        <f t="shared" si="3"/>
        <v>0</v>
      </c>
      <c r="U8" s="457"/>
      <c r="V8" s="420">
        <v>0</v>
      </c>
      <c r="W8" s="420">
        <v>0</v>
      </c>
      <c r="X8" s="420">
        <v>39</v>
      </c>
      <c r="Y8" s="361">
        <f t="shared" si="4"/>
        <v>39</v>
      </c>
      <c r="Z8" s="728"/>
      <c r="AA8" s="361">
        <f t="shared" si="6"/>
        <v>325</v>
      </c>
      <c r="AB8" s="420">
        <f t="shared" si="7"/>
        <v>53</v>
      </c>
      <c r="AC8" s="361">
        <f t="shared" si="8"/>
        <v>57</v>
      </c>
      <c r="AD8" s="361">
        <f t="shared" si="5"/>
        <v>435</v>
      </c>
    </row>
    <row r="9" spans="1:31" ht="22.5" customHeight="1">
      <c r="A9" s="407" t="s">
        <v>117</v>
      </c>
      <c r="B9" s="419">
        <v>13</v>
      </c>
      <c r="C9" s="419">
        <v>0</v>
      </c>
      <c r="D9" s="419">
        <v>0</v>
      </c>
      <c r="E9" s="361">
        <f t="shared" si="0"/>
        <v>13</v>
      </c>
      <c r="F9" s="456"/>
      <c r="G9" s="419">
        <v>104</v>
      </c>
      <c r="H9" s="419">
        <v>0</v>
      </c>
      <c r="I9" s="419">
        <v>0</v>
      </c>
      <c r="J9" s="361">
        <f t="shared" si="1"/>
        <v>104</v>
      </c>
      <c r="K9" s="456"/>
      <c r="L9" s="419">
        <v>0</v>
      </c>
      <c r="M9" s="419">
        <v>0</v>
      </c>
      <c r="N9" s="419">
        <v>0</v>
      </c>
      <c r="O9" s="361">
        <f t="shared" si="2"/>
        <v>0</v>
      </c>
      <c r="P9" s="456"/>
      <c r="Q9" s="419">
        <v>0</v>
      </c>
      <c r="R9" s="419">
        <v>0</v>
      </c>
      <c r="S9" s="419">
        <v>0</v>
      </c>
      <c r="T9" s="361">
        <f t="shared" si="3"/>
        <v>0</v>
      </c>
      <c r="U9" s="456"/>
      <c r="V9" s="419">
        <v>0</v>
      </c>
      <c r="W9" s="419">
        <v>0</v>
      </c>
      <c r="X9" s="419">
        <v>0</v>
      </c>
      <c r="Y9" s="361">
        <f t="shared" si="4"/>
        <v>0</v>
      </c>
      <c r="Z9" s="484"/>
      <c r="AA9" s="361">
        <f t="shared" si="6"/>
        <v>117</v>
      </c>
      <c r="AB9" s="420">
        <f t="shared" si="7"/>
        <v>0</v>
      </c>
      <c r="AC9" s="361">
        <f t="shared" si="8"/>
        <v>0</v>
      </c>
      <c r="AD9" s="361">
        <f t="shared" si="5"/>
        <v>117</v>
      </c>
    </row>
    <row r="10" spans="1:31" s="29" customFormat="1" ht="22.5" customHeight="1">
      <c r="A10" s="410" t="s">
        <v>108</v>
      </c>
      <c r="B10" s="420">
        <v>7</v>
      </c>
      <c r="C10" s="420">
        <v>3</v>
      </c>
      <c r="D10" s="420">
        <v>2</v>
      </c>
      <c r="E10" s="361">
        <f t="shared" si="0"/>
        <v>12</v>
      </c>
      <c r="F10" s="457"/>
      <c r="G10" s="420">
        <v>131</v>
      </c>
      <c r="H10" s="420">
        <v>29</v>
      </c>
      <c r="I10" s="420">
        <v>40</v>
      </c>
      <c r="J10" s="361">
        <f t="shared" si="1"/>
        <v>200</v>
      </c>
      <c r="K10" s="457"/>
      <c r="L10" s="420">
        <v>0</v>
      </c>
      <c r="M10" s="420">
        <v>0</v>
      </c>
      <c r="N10" s="420">
        <v>4</v>
      </c>
      <c r="O10" s="361">
        <f t="shared" si="2"/>
        <v>4</v>
      </c>
      <c r="P10" s="457"/>
      <c r="Q10" s="420">
        <v>0</v>
      </c>
      <c r="R10" s="420">
        <v>0</v>
      </c>
      <c r="S10" s="420">
        <v>0</v>
      </c>
      <c r="T10" s="361">
        <f t="shared" si="3"/>
        <v>0</v>
      </c>
      <c r="U10" s="457"/>
      <c r="V10" s="420">
        <v>2</v>
      </c>
      <c r="W10" s="420">
        <v>0</v>
      </c>
      <c r="X10" s="420">
        <v>20</v>
      </c>
      <c r="Y10" s="361">
        <f t="shared" si="4"/>
        <v>22</v>
      </c>
      <c r="Z10" s="728"/>
      <c r="AA10" s="361">
        <f t="shared" si="6"/>
        <v>140</v>
      </c>
      <c r="AB10" s="420">
        <f t="shared" si="7"/>
        <v>32</v>
      </c>
      <c r="AC10" s="361">
        <f t="shared" si="8"/>
        <v>66</v>
      </c>
      <c r="AD10" s="361">
        <f t="shared" si="5"/>
        <v>238</v>
      </c>
    </row>
    <row r="11" spans="1:31" s="29" customFormat="1" ht="22.5" customHeight="1">
      <c r="A11" s="410" t="s">
        <v>110</v>
      </c>
      <c r="B11" s="420">
        <v>16</v>
      </c>
      <c r="C11" s="420">
        <v>0</v>
      </c>
      <c r="D11" s="420">
        <v>2</v>
      </c>
      <c r="E11" s="361">
        <f t="shared" si="0"/>
        <v>18</v>
      </c>
      <c r="F11" s="457"/>
      <c r="G11" s="420">
        <v>322</v>
      </c>
      <c r="H11" s="420">
        <v>0</v>
      </c>
      <c r="I11" s="420">
        <v>24</v>
      </c>
      <c r="J11" s="361">
        <f t="shared" si="1"/>
        <v>346</v>
      </c>
      <c r="K11" s="457"/>
      <c r="L11" s="420">
        <v>4</v>
      </c>
      <c r="M11" s="420">
        <v>0</v>
      </c>
      <c r="N11" s="420">
        <v>0</v>
      </c>
      <c r="O11" s="361">
        <f t="shared" si="2"/>
        <v>4</v>
      </c>
      <c r="P11" s="457"/>
      <c r="Q11" s="420">
        <v>0</v>
      </c>
      <c r="R11" s="420">
        <v>0</v>
      </c>
      <c r="S11" s="420">
        <v>0</v>
      </c>
      <c r="T11" s="361">
        <f t="shared" si="3"/>
        <v>0</v>
      </c>
      <c r="U11" s="457"/>
      <c r="V11" s="420">
        <v>41</v>
      </c>
      <c r="W11" s="420">
        <v>0</v>
      </c>
      <c r="X11" s="420">
        <v>6</v>
      </c>
      <c r="Y11" s="361">
        <f t="shared" si="4"/>
        <v>47</v>
      </c>
      <c r="Z11" s="728"/>
      <c r="AA11" s="361">
        <f t="shared" si="6"/>
        <v>383</v>
      </c>
      <c r="AB11" s="420">
        <f t="shared" si="7"/>
        <v>0</v>
      </c>
      <c r="AC11" s="361">
        <f t="shared" si="8"/>
        <v>32</v>
      </c>
      <c r="AD11" s="361">
        <f t="shared" si="5"/>
        <v>415</v>
      </c>
    </row>
    <row r="12" spans="1:31" ht="22.5" customHeight="1">
      <c r="A12" s="407" t="s">
        <v>102</v>
      </c>
      <c r="B12" s="419">
        <v>7</v>
      </c>
      <c r="C12" s="419">
        <v>0</v>
      </c>
      <c r="D12" s="419">
        <v>0</v>
      </c>
      <c r="E12" s="361">
        <f t="shared" si="0"/>
        <v>7</v>
      </c>
      <c r="F12" s="456"/>
      <c r="G12" s="419">
        <v>106</v>
      </c>
      <c r="H12" s="419">
        <v>0</v>
      </c>
      <c r="I12" s="419">
        <v>0</v>
      </c>
      <c r="J12" s="361">
        <f t="shared" si="1"/>
        <v>106</v>
      </c>
      <c r="K12" s="456"/>
      <c r="L12" s="419">
        <v>5</v>
      </c>
      <c r="M12" s="419">
        <v>0</v>
      </c>
      <c r="N12" s="419">
        <v>0</v>
      </c>
      <c r="O12" s="361">
        <f t="shared" si="2"/>
        <v>5</v>
      </c>
      <c r="P12" s="456"/>
      <c r="Q12" s="419">
        <v>0</v>
      </c>
      <c r="R12" s="419">
        <v>0</v>
      </c>
      <c r="S12" s="419">
        <v>0</v>
      </c>
      <c r="T12" s="361">
        <f t="shared" si="3"/>
        <v>0</v>
      </c>
      <c r="U12" s="456"/>
      <c r="V12" s="419">
        <v>0</v>
      </c>
      <c r="W12" s="419">
        <v>0</v>
      </c>
      <c r="X12" s="419">
        <v>12</v>
      </c>
      <c r="Y12" s="361">
        <f t="shared" si="4"/>
        <v>12</v>
      </c>
      <c r="Z12" s="484"/>
      <c r="AA12" s="361">
        <f t="shared" si="6"/>
        <v>118</v>
      </c>
      <c r="AB12" s="420">
        <f t="shared" si="7"/>
        <v>0</v>
      </c>
      <c r="AC12" s="361">
        <f t="shared" si="8"/>
        <v>12</v>
      </c>
      <c r="AD12" s="361">
        <f t="shared" si="5"/>
        <v>130</v>
      </c>
    </row>
    <row r="13" spans="1:31" ht="22.5" customHeight="1">
      <c r="A13" s="407" t="s">
        <v>109</v>
      </c>
      <c r="B13" s="419">
        <v>19</v>
      </c>
      <c r="C13" s="419">
        <v>4</v>
      </c>
      <c r="D13" s="419">
        <v>1</v>
      </c>
      <c r="E13" s="361">
        <f t="shared" si="0"/>
        <v>24</v>
      </c>
      <c r="F13" s="456"/>
      <c r="G13" s="419">
        <v>235</v>
      </c>
      <c r="H13" s="419">
        <v>21</v>
      </c>
      <c r="I13" s="419">
        <v>19</v>
      </c>
      <c r="J13" s="361">
        <f t="shared" si="1"/>
        <v>275</v>
      </c>
      <c r="K13" s="456"/>
      <c r="L13" s="419">
        <v>22</v>
      </c>
      <c r="M13" s="419">
        <v>0</v>
      </c>
      <c r="N13" s="419">
        <v>2</v>
      </c>
      <c r="O13" s="361">
        <f t="shared" si="2"/>
        <v>24</v>
      </c>
      <c r="P13" s="456"/>
      <c r="Q13" s="419">
        <v>0</v>
      </c>
      <c r="R13" s="419">
        <v>0</v>
      </c>
      <c r="S13" s="419">
        <v>0</v>
      </c>
      <c r="T13" s="361">
        <f t="shared" si="3"/>
        <v>0</v>
      </c>
      <c r="U13" s="456"/>
      <c r="V13" s="419">
        <v>26</v>
      </c>
      <c r="W13" s="419">
        <v>0</v>
      </c>
      <c r="X13" s="419">
        <v>3</v>
      </c>
      <c r="Y13" s="361">
        <f t="shared" si="4"/>
        <v>29</v>
      </c>
      <c r="Z13" s="484"/>
      <c r="AA13" s="361">
        <f t="shared" si="6"/>
        <v>302</v>
      </c>
      <c r="AB13" s="420">
        <f t="shared" si="7"/>
        <v>25</v>
      </c>
      <c r="AC13" s="361">
        <f t="shared" si="8"/>
        <v>25</v>
      </c>
      <c r="AD13" s="361">
        <f t="shared" si="5"/>
        <v>352</v>
      </c>
    </row>
    <row r="14" spans="1:31" ht="22.5" customHeight="1">
      <c r="A14" s="410" t="s">
        <v>107</v>
      </c>
      <c r="B14" s="420">
        <v>7</v>
      </c>
      <c r="C14" s="420">
        <v>7</v>
      </c>
      <c r="D14" s="420">
        <v>6</v>
      </c>
      <c r="E14" s="361">
        <f t="shared" si="0"/>
        <v>20</v>
      </c>
      <c r="F14" s="457"/>
      <c r="G14" s="420">
        <v>44</v>
      </c>
      <c r="H14" s="420">
        <v>135</v>
      </c>
      <c r="I14" s="420">
        <v>82</v>
      </c>
      <c r="J14" s="361">
        <f t="shared" si="1"/>
        <v>261</v>
      </c>
      <c r="K14" s="457"/>
      <c r="L14" s="420">
        <v>1</v>
      </c>
      <c r="M14" s="420">
        <v>0</v>
      </c>
      <c r="N14" s="420">
        <v>3</v>
      </c>
      <c r="O14" s="361">
        <f t="shared" si="2"/>
        <v>4</v>
      </c>
      <c r="P14" s="457"/>
      <c r="Q14" s="420">
        <v>2</v>
      </c>
      <c r="R14" s="420">
        <v>1</v>
      </c>
      <c r="S14" s="420">
        <v>0</v>
      </c>
      <c r="T14" s="361">
        <f t="shared" si="3"/>
        <v>3</v>
      </c>
      <c r="U14" s="457"/>
      <c r="V14" s="420">
        <v>6</v>
      </c>
      <c r="W14" s="420">
        <v>0</v>
      </c>
      <c r="X14" s="420">
        <v>43</v>
      </c>
      <c r="Y14" s="361">
        <f t="shared" si="4"/>
        <v>49</v>
      </c>
      <c r="Z14" s="484"/>
      <c r="AA14" s="361">
        <f t="shared" si="6"/>
        <v>60</v>
      </c>
      <c r="AB14" s="420">
        <f t="shared" si="7"/>
        <v>143</v>
      </c>
      <c r="AC14" s="361">
        <f t="shared" si="8"/>
        <v>134</v>
      </c>
      <c r="AD14" s="361">
        <f t="shared" si="5"/>
        <v>337</v>
      </c>
      <c r="AE14" s="361"/>
    </row>
    <row r="15" spans="1:31" ht="22.5" customHeight="1">
      <c r="A15" s="410" t="s">
        <v>111</v>
      </c>
      <c r="B15" s="420">
        <v>7</v>
      </c>
      <c r="C15" s="420">
        <v>0</v>
      </c>
      <c r="D15" s="420">
        <v>0</v>
      </c>
      <c r="E15" s="361">
        <f t="shared" si="0"/>
        <v>7</v>
      </c>
      <c r="F15" s="457"/>
      <c r="G15" s="420">
        <v>115</v>
      </c>
      <c r="H15" s="420">
        <v>0</v>
      </c>
      <c r="I15" s="420">
        <v>3</v>
      </c>
      <c r="J15" s="361">
        <f t="shared" si="1"/>
        <v>118</v>
      </c>
      <c r="K15" s="457"/>
      <c r="L15" s="420">
        <v>8</v>
      </c>
      <c r="M15" s="420">
        <v>0</v>
      </c>
      <c r="N15" s="420">
        <v>0</v>
      </c>
      <c r="O15" s="361">
        <f t="shared" si="2"/>
        <v>8</v>
      </c>
      <c r="P15" s="457"/>
      <c r="Q15" s="420">
        <v>1</v>
      </c>
      <c r="R15" s="420">
        <v>0</v>
      </c>
      <c r="S15" s="420">
        <v>0</v>
      </c>
      <c r="T15" s="361">
        <f t="shared" si="3"/>
        <v>1</v>
      </c>
      <c r="U15" s="457"/>
      <c r="V15" s="420">
        <v>2</v>
      </c>
      <c r="W15" s="420">
        <v>0</v>
      </c>
      <c r="X15" s="420">
        <v>21</v>
      </c>
      <c r="Y15" s="361">
        <f t="shared" si="4"/>
        <v>23</v>
      </c>
      <c r="Z15" s="484"/>
      <c r="AA15" s="361">
        <f t="shared" si="6"/>
        <v>133</v>
      </c>
      <c r="AB15" s="420">
        <f t="shared" si="7"/>
        <v>0</v>
      </c>
      <c r="AC15" s="361">
        <f t="shared" si="8"/>
        <v>24</v>
      </c>
      <c r="AD15" s="361">
        <f t="shared" si="5"/>
        <v>157</v>
      </c>
    </row>
    <row r="16" spans="1:31" ht="22.5" customHeight="1">
      <c r="A16" s="410" t="s">
        <v>112</v>
      </c>
      <c r="B16" s="420">
        <v>16</v>
      </c>
      <c r="C16" s="420">
        <v>0</v>
      </c>
      <c r="D16" s="420">
        <v>1</v>
      </c>
      <c r="E16" s="361">
        <f t="shared" si="0"/>
        <v>17</v>
      </c>
      <c r="F16" s="457"/>
      <c r="G16" s="420">
        <v>294</v>
      </c>
      <c r="H16" s="420">
        <v>0</v>
      </c>
      <c r="I16" s="420">
        <v>16</v>
      </c>
      <c r="J16" s="361">
        <f t="shared" si="1"/>
        <v>310</v>
      </c>
      <c r="K16" s="457"/>
      <c r="L16" s="420">
        <v>5</v>
      </c>
      <c r="M16" s="420">
        <v>0</v>
      </c>
      <c r="N16" s="420">
        <v>20</v>
      </c>
      <c r="O16" s="361">
        <f t="shared" si="2"/>
        <v>25</v>
      </c>
      <c r="P16" s="457"/>
      <c r="Q16" s="420">
        <v>1</v>
      </c>
      <c r="R16" s="420">
        <v>0</v>
      </c>
      <c r="S16" s="420">
        <v>19</v>
      </c>
      <c r="T16" s="361">
        <f t="shared" si="3"/>
        <v>20</v>
      </c>
      <c r="U16" s="457"/>
      <c r="V16" s="420">
        <v>20</v>
      </c>
      <c r="W16" s="420">
        <v>0</v>
      </c>
      <c r="X16" s="420">
        <v>37</v>
      </c>
      <c r="Y16" s="361">
        <f t="shared" si="4"/>
        <v>57</v>
      </c>
      <c r="Z16" s="484"/>
      <c r="AA16" s="361">
        <f t="shared" si="6"/>
        <v>336</v>
      </c>
      <c r="AB16" s="420">
        <f t="shared" si="7"/>
        <v>0</v>
      </c>
      <c r="AC16" s="361">
        <f t="shared" si="8"/>
        <v>93</v>
      </c>
      <c r="AD16" s="361">
        <f t="shared" si="5"/>
        <v>429</v>
      </c>
    </row>
    <row r="17" spans="1:31" ht="22.5" customHeight="1">
      <c r="A17" s="410" t="s">
        <v>113</v>
      </c>
      <c r="B17" s="420">
        <v>5</v>
      </c>
      <c r="C17" s="420">
        <v>0</v>
      </c>
      <c r="D17" s="420">
        <v>0</v>
      </c>
      <c r="E17" s="361">
        <f t="shared" si="0"/>
        <v>5</v>
      </c>
      <c r="F17" s="457"/>
      <c r="G17" s="420">
        <v>97</v>
      </c>
      <c r="H17" s="420">
        <v>0</v>
      </c>
      <c r="I17" s="420">
        <v>11</v>
      </c>
      <c r="J17" s="361">
        <f t="shared" si="1"/>
        <v>108</v>
      </c>
      <c r="K17" s="457"/>
      <c r="L17" s="420">
        <v>14</v>
      </c>
      <c r="M17" s="420">
        <v>0</v>
      </c>
      <c r="N17" s="420">
        <v>34</v>
      </c>
      <c r="O17" s="361">
        <f t="shared" si="2"/>
        <v>48</v>
      </c>
      <c r="P17" s="457"/>
      <c r="Q17" s="420">
        <v>4</v>
      </c>
      <c r="R17" s="420">
        <v>0</v>
      </c>
      <c r="S17" s="420">
        <v>1</v>
      </c>
      <c r="T17" s="361">
        <f t="shared" si="3"/>
        <v>5</v>
      </c>
      <c r="U17" s="457"/>
      <c r="V17" s="420">
        <v>0</v>
      </c>
      <c r="W17" s="420">
        <v>0</v>
      </c>
      <c r="X17" s="420">
        <v>28</v>
      </c>
      <c r="Y17" s="361">
        <f t="shared" si="4"/>
        <v>28</v>
      </c>
      <c r="Z17" s="484"/>
      <c r="AA17" s="361">
        <f t="shared" si="6"/>
        <v>120</v>
      </c>
      <c r="AB17" s="420">
        <f t="shared" si="7"/>
        <v>0</v>
      </c>
      <c r="AC17" s="361">
        <f t="shared" si="8"/>
        <v>74</v>
      </c>
      <c r="AD17" s="361">
        <f t="shared" si="5"/>
        <v>194</v>
      </c>
    </row>
    <row r="18" spans="1:31" s="29" customFormat="1" ht="22.5" customHeight="1">
      <c r="A18" s="410" t="s">
        <v>114</v>
      </c>
      <c r="B18" s="420">
        <v>4</v>
      </c>
      <c r="C18" s="420">
        <v>2</v>
      </c>
      <c r="D18" s="420">
        <v>0</v>
      </c>
      <c r="E18" s="361">
        <f t="shared" si="0"/>
        <v>6</v>
      </c>
      <c r="F18" s="457"/>
      <c r="G18" s="420">
        <v>183</v>
      </c>
      <c r="H18" s="420">
        <v>5</v>
      </c>
      <c r="I18" s="420">
        <v>38</v>
      </c>
      <c r="J18" s="361">
        <f t="shared" si="1"/>
        <v>226</v>
      </c>
      <c r="K18" s="457"/>
      <c r="L18" s="420">
        <v>23</v>
      </c>
      <c r="M18" s="420">
        <v>0</v>
      </c>
      <c r="N18" s="420">
        <v>45</v>
      </c>
      <c r="O18" s="361">
        <f t="shared" si="2"/>
        <v>68</v>
      </c>
      <c r="P18" s="457"/>
      <c r="Q18" s="420">
        <v>0</v>
      </c>
      <c r="R18" s="420">
        <v>0</v>
      </c>
      <c r="S18" s="420">
        <v>0</v>
      </c>
      <c r="T18" s="361">
        <f t="shared" si="3"/>
        <v>0</v>
      </c>
      <c r="U18" s="457"/>
      <c r="V18" s="420">
        <v>20</v>
      </c>
      <c r="W18" s="420">
        <v>0</v>
      </c>
      <c r="X18" s="420">
        <v>34</v>
      </c>
      <c r="Y18" s="361">
        <f t="shared" si="4"/>
        <v>54</v>
      </c>
      <c r="Z18" s="728"/>
      <c r="AA18" s="361">
        <f t="shared" si="6"/>
        <v>230</v>
      </c>
      <c r="AB18" s="420">
        <f t="shared" si="7"/>
        <v>7</v>
      </c>
      <c r="AC18" s="361">
        <f t="shared" si="8"/>
        <v>117</v>
      </c>
      <c r="AD18" s="361">
        <f t="shared" si="5"/>
        <v>354</v>
      </c>
    </row>
    <row r="19" spans="1:31" s="29" customFormat="1" ht="22.5" customHeight="1">
      <c r="A19" s="410" t="s">
        <v>115</v>
      </c>
      <c r="B19" s="420">
        <v>13</v>
      </c>
      <c r="C19" s="420">
        <v>0</v>
      </c>
      <c r="D19" s="420">
        <v>2</v>
      </c>
      <c r="E19" s="361">
        <f t="shared" si="0"/>
        <v>15</v>
      </c>
      <c r="F19" s="457"/>
      <c r="G19" s="420">
        <v>312</v>
      </c>
      <c r="H19" s="420">
        <v>0</v>
      </c>
      <c r="I19" s="420">
        <v>37</v>
      </c>
      <c r="J19" s="361">
        <f t="shared" si="1"/>
        <v>349</v>
      </c>
      <c r="K19" s="457"/>
      <c r="L19" s="420">
        <v>5</v>
      </c>
      <c r="M19" s="420">
        <v>0</v>
      </c>
      <c r="N19" s="420">
        <v>7</v>
      </c>
      <c r="O19" s="361">
        <f t="shared" si="2"/>
        <v>12</v>
      </c>
      <c r="P19" s="457"/>
      <c r="Q19" s="420">
        <v>0</v>
      </c>
      <c r="R19" s="420">
        <v>0</v>
      </c>
      <c r="S19" s="420">
        <v>0</v>
      </c>
      <c r="T19" s="361">
        <f t="shared" si="3"/>
        <v>0</v>
      </c>
      <c r="U19" s="457"/>
      <c r="V19" s="420">
        <v>0</v>
      </c>
      <c r="W19" s="420">
        <v>0</v>
      </c>
      <c r="X19" s="420">
        <v>22</v>
      </c>
      <c r="Y19" s="361">
        <f t="shared" si="4"/>
        <v>22</v>
      </c>
      <c r="Z19" s="728"/>
      <c r="AA19" s="361">
        <f t="shared" si="6"/>
        <v>330</v>
      </c>
      <c r="AB19" s="420">
        <f t="shared" si="7"/>
        <v>0</v>
      </c>
      <c r="AC19" s="361">
        <f t="shared" si="8"/>
        <v>68</v>
      </c>
      <c r="AD19" s="361">
        <f t="shared" si="5"/>
        <v>398</v>
      </c>
      <c r="AE19" s="361"/>
    </row>
    <row r="20" spans="1:31" s="29" customFormat="1" ht="22.5" customHeight="1" thickBot="1">
      <c r="A20" s="410" t="s">
        <v>116</v>
      </c>
      <c r="B20" s="730">
        <v>9</v>
      </c>
      <c r="C20" s="730">
        <v>0</v>
      </c>
      <c r="D20" s="730">
        <v>0</v>
      </c>
      <c r="E20" s="361">
        <f t="shared" si="0"/>
        <v>9</v>
      </c>
      <c r="F20" s="457"/>
      <c r="G20" s="730">
        <v>339</v>
      </c>
      <c r="H20" s="730">
        <v>0</v>
      </c>
      <c r="I20" s="730">
        <v>0</v>
      </c>
      <c r="J20" s="361">
        <f t="shared" si="1"/>
        <v>339</v>
      </c>
      <c r="K20" s="457"/>
      <c r="L20" s="730">
        <v>12</v>
      </c>
      <c r="M20" s="730">
        <v>0</v>
      </c>
      <c r="N20" s="730">
        <v>31</v>
      </c>
      <c r="O20" s="361">
        <f t="shared" si="2"/>
        <v>43</v>
      </c>
      <c r="P20" s="457"/>
      <c r="Q20" s="730">
        <v>0</v>
      </c>
      <c r="R20" s="730">
        <v>0</v>
      </c>
      <c r="S20" s="730">
        <v>0</v>
      </c>
      <c r="T20" s="361">
        <f t="shared" si="3"/>
        <v>0</v>
      </c>
      <c r="U20" s="457"/>
      <c r="V20" s="730">
        <v>0</v>
      </c>
      <c r="W20" s="730">
        <v>0</v>
      </c>
      <c r="X20" s="730">
        <v>25</v>
      </c>
      <c r="Y20" s="731">
        <f t="shared" si="4"/>
        <v>25</v>
      </c>
      <c r="Z20" s="732"/>
      <c r="AA20" s="731">
        <f t="shared" si="6"/>
        <v>360</v>
      </c>
      <c r="AB20" s="740">
        <f t="shared" si="7"/>
        <v>0</v>
      </c>
      <c r="AC20" s="731">
        <f t="shared" si="8"/>
        <v>56</v>
      </c>
      <c r="AD20" s="731">
        <f t="shared" si="5"/>
        <v>416</v>
      </c>
    </row>
    <row r="21" spans="1:31" ht="22.5" customHeight="1" thickTop="1" thickBot="1">
      <c r="A21" s="374" t="s">
        <v>410</v>
      </c>
      <c r="B21" s="375">
        <f>SUM(B5:B20)</f>
        <v>196</v>
      </c>
      <c r="C21" s="375">
        <f>SUM(C5:C20)</f>
        <v>20</v>
      </c>
      <c r="D21" s="375">
        <f>SUM(D5:D20)</f>
        <v>23</v>
      </c>
      <c r="E21" s="377">
        <f t="shared" si="0"/>
        <v>239</v>
      </c>
      <c r="F21" s="458"/>
      <c r="G21" s="377">
        <f>SUM(G5:G20)</f>
        <v>2824</v>
      </c>
      <c r="H21" s="375">
        <f>SUM(H5:H20)</f>
        <v>240</v>
      </c>
      <c r="I21" s="375">
        <f>SUM(I5:I20)</f>
        <v>321</v>
      </c>
      <c r="J21" s="377">
        <f t="shared" si="1"/>
        <v>3385</v>
      </c>
      <c r="K21" s="458"/>
      <c r="L21" s="375">
        <f>SUM(L5:L20)</f>
        <v>143</v>
      </c>
      <c r="M21" s="375">
        <f>SUM(M5:M20)</f>
        <v>1</v>
      </c>
      <c r="N21" s="375">
        <f>SUM(N5:N20)</f>
        <v>151</v>
      </c>
      <c r="O21" s="377">
        <f t="shared" si="2"/>
        <v>295</v>
      </c>
      <c r="P21" s="458"/>
      <c r="Q21" s="375">
        <f>SUM(Q5:Q20)</f>
        <v>442</v>
      </c>
      <c r="R21" s="375">
        <f>SUM(R5:R20)</f>
        <v>28</v>
      </c>
      <c r="S21" s="375">
        <f>SUM(S5:S20)</f>
        <v>149</v>
      </c>
      <c r="T21" s="377">
        <f t="shared" si="3"/>
        <v>619</v>
      </c>
      <c r="U21" s="458"/>
      <c r="V21" s="375">
        <f>SUM(V5:V20)</f>
        <v>155</v>
      </c>
      <c r="W21" s="375">
        <f>SUM(W5:W20)</f>
        <v>0</v>
      </c>
      <c r="X21" s="375">
        <f>SUM(X5:X20)</f>
        <v>294</v>
      </c>
      <c r="Y21" s="377">
        <f t="shared" si="4"/>
        <v>449</v>
      </c>
      <c r="Z21" s="377"/>
      <c r="AA21" s="377">
        <f t="shared" si="6"/>
        <v>3760</v>
      </c>
      <c r="AB21" s="375">
        <f t="shared" si="7"/>
        <v>289</v>
      </c>
      <c r="AC21" s="377">
        <f t="shared" si="8"/>
        <v>938</v>
      </c>
      <c r="AD21" s="816">
        <f t="shared" si="5"/>
        <v>4987</v>
      </c>
    </row>
    <row r="22" spans="1:31" s="345" customFormat="1" ht="17.2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 s="1032"/>
      <c r="I22" s="1032"/>
      <c r="J22" s="1032"/>
      <c r="K22" s="1032"/>
      <c r="L22" s="1032"/>
      <c r="M22" s="1032"/>
      <c r="N22" s="1032"/>
      <c r="O22" s="1032"/>
      <c r="Q22" s="636"/>
      <c r="R22" s="637"/>
      <c r="S22" s="637"/>
    </row>
    <row r="23" spans="1:31" s="345" customFormat="1" ht="17.25" customHeight="1">
      <c r="A23" s="961" t="s">
        <v>432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351"/>
      <c r="T23" s="351"/>
    </row>
    <row r="24" spans="1:31" s="345" customFormat="1" ht="17.25" customHeight="1" thickBot="1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  <c r="M24" s="961"/>
      <c r="N24" s="961"/>
      <c r="O24" s="351"/>
      <c r="T24" s="351"/>
    </row>
    <row r="25" spans="1:31" ht="17.25" customHeight="1">
      <c r="A25" s="1040" t="s">
        <v>336</v>
      </c>
      <c r="B25" s="1040"/>
      <c r="C25" s="1040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0"/>
      <c r="U25" s="1040"/>
      <c r="V25" s="1040"/>
      <c r="W25" s="461"/>
      <c r="X25" s="461"/>
      <c r="Y25" s="467"/>
      <c r="Z25" s="467"/>
      <c r="AA25" s="467"/>
      <c r="AB25" s="467"/>
      <c r="AC25" s="467"/>
      <c r="AD25" s="467">
        <v>38</v>
      </c>
    </row>
  </sheetData>
  <mergeCells count="12">
    <mergeCell ref="A25:V25"/>
    <mergeCell ref="A3:A4"/>
    <mergeCell ref="B3:E3"/>
    <mergeCell ref="AA3:AD3"/>
    <mergeCell ref="A1:AD1"/>
    <mergeCell ref="G3:J3"/>
    <mergeCell ref="L3:O3"/>
    <mergeCell ref="V3:Y3"/>
    <mergeCell ref="A23:N23"/>
    <mergeCell ref="A24:N24"/>
    <mergeCell ref="Q3:T3"/>
    <mergeCell ref="A22:O2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S25"/>
  <sheetViews>
    <sheetView rightToLeft="1" view="pageBreakPreview" topLeftCell="A19" zoomScale="110" zoomScaleSheetLayoutView="110" workbookViewId="0">
      <selection activeCell="H3" sqref="H3:I3"/>
    </sheetView>
  </sheetViews>
  <sheetFormatPr defaultRowHeight="14.25"/>
  <cols>
    <col min="1" max="1" width="9.75" customWidth="1"/>
    <col min="2" max="2" width="11.625" customWidth="1"/>
    <col min="3" max="3" width="6.125" customWidth="1"/>
    <col min="4" max="4" width="1.375" customWidth="1"/>
    <col min="5" max="5" width="10.5" customWidth="1"/>
    <col min="6" max="6" width="6.125" customWidth="1"/>
    <col min="7" max="7" width="1.625" customWidth="1"/>
    <col min="8" max="8" width="12.375" customWidth="1"/>
    <col min="9" max="9" width="6.125" customWidth="1"/>
    <col min="10" max="10" width="1.375" customWidth="1"/>
    <col min="11" max="11" width="10.375" customWidth="1"/>
    <col min="12" max="12" width="6.125" customWidth="1"/>
    <col min="13" max="13" width="1.375" customWidth="1"/>
    <col min="14" max="14" width="9.875" customWidth="1"/>
    <col min="15" max="15" width="6.125" customWidth="1"/>
    <col min="16" max="16" width="1.375" customWidth="1"/>
    <col min="17" max="17" width="12.375" customWidth="1"/>
    <col min="18" max="18" width="6.125" customWidth="1"/>
    <col min="19" max="19" width="13" customWidth="1"/>
  </cols>
  <sheetData>
    <row r="1" spans="1:19" ht="21.75" customHeight="1">
      <c r="A1" s="1044" t="s">
        <v>471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1044"/>
      <c r="N1" s="1044"/>
      <c r="O1" s="1044"/>
      <c r="P1" s="1044"/>
      <c r="Q1" s="1044"/>
      <c r="R1" s="1044"/>
      <c r="S1" s="1044"/>
    </row>
    <row r="2" spans="1:19" ht="21.75" customHeight="1" thickBot="1">
      <c r="A2" s="405" t="s">
        <v>356</v>
      </c>
      <c r="B2" s="406"/>
      <c r="C2" s="406"/>
      <c r="D2" s="406"/>
      <c r="E2" s="406"/>
      <c r="F2" s="406"/>
      <c r="G2" s="406"/>
      <c r="H2" s="406"/>
      <c r="I2" s="406"/>
      <c r="J2" s="405"/>
      <c r="K2" s="406"/>
      <c r="L2" s="406"/>
      <c r="M2" s="405"/>
      <c r="N2" s="406"/>
      <c r="O2" s="406"/>
      <c r="P2" s="406"/>
      <c r="Q2" s="406"/>
    </row>
    <row r="3" spans="1:19" ht="37.5" customHeight="1" thickTop="1">
      <c r="A3" s="1041" t="s">
        <v>103</v>
      </c>
      <c r="B3" s="1043" t="s">
        <v>351</v>
      </c>
      <c r="C3" s="1043"/>
      <c r="D3" s="473"/>
      <c r="E3" s="1043" t="s">
        <v>338</v>
      </c>
      <c r="F3" s="1043"/>
      <c r="G3" s="473"/>
      <c r="H3" s="1043" t="s">
        <v>345</v>
      </c>
      <c r="I3" s="1043"/>
      <c r="J3" s="473"/>
      <c r="K3" s="1043" t="s">
        <v>486</v>
      </c>
      <c r="L3" s="1043"/>
      <c r="M3" s="655"/>
      <c r="N3" s="1043" t="s">
        <v>348</v>
      </c>
      <c r="O3" s="1043"/>
      <c r="P3" s="473"/>
      <c r="Q3" s="1043" t="s">
        <v>118</v>
      </c>
      <c r="R3" s="1043"/>
      <c r="S3" s="1041" t="s">
        <v>647</v>
      </c>
    </row>
    <row r="4" spans="1:19" ht="37.5" customHeight="1">
      <c r="A4" s="1042"/>
      <c r="B4" s="486" t="s">
        <v>412</v>
      </c>
      <c r="C4" s="487" t="s">
        <v>335</v>
      </c>
      <c r="D4" s="412"/>
      <c r="E4" s="486" t="s">
        <v>412</v>
      </c>
      <c r="F4" s="487" t="s">
        <v>335</v>
      </c>
      <c r="G4" s="412"/>
      <c r="H4" s="486" t="s">
        <v>412</v>
      </c>
      <c r="I4" s="487" t="s">
        <v>335</v>
      </c>
      <c r="J4" s="412"/>
      <c r="K4" s="486" t="s">
        <v>412</v>
      </c>
      <c r="L4" s="487" t="s">
        <v>335</v>
      </c>
      <c r="M4" s="412"/>
      <c r="N4" s="486" t="s">
        <v>412</v>
      </c>
      <c r="O4" s="487" t="s">
        <v>335</v>
      </c>
      <c r="P4" s="455"/>
      <c r="Q4" s="486" t="s">
        <v>412</v>
      </c>
      <c r="R4" s="487" t="s">
        <v>335</v>
      </c>
      <c r="S4" s="1042"/>
    </row>
    <row r="5" spans="1:19" ht="20.25" customHeight="1">
      <c r="A5" s="336" t="s">
        <v>104</v>
      </c>
      <c r="B5" s="350">
        <f>'10'!I5</f>
        <v>1337230</v>
      </c>
      <c r="C5" s="532">
        <f>B5/10356258*100</f>
        <v>12.912289361659395</v>
      </c>
      <c r="D5" s="456"/>
      <c r="E5" s="350">
        <f>'11'!I5</f>
        <v>71558</v>
      </c>
      <c r="F5" s="537">
        <f>E5/6179124*100</f>
        <v>1.1580605924075968</v>
      </c>
      <c r="G5" s="350"/>
      <c r="H5" s="418">
        <f>'12'!J5:J20</f>
        <v>0</v>
      </c>
      <c r="I5" s="538">
        <f>H5/26940*100</f>
        <v>0</v>
      </c>
      <c r="J5" s="363"/>
      <c r="K5" s="415">
        <f>'13'!J5:J20</f>
        <v>12443</v>
      </c>
      <c r="L5" s="538">
        <f>K5/104839*100</f>
        <v>11.868674825208176</v>
      </c>
      <c r="M5" s="363"/>
      <c r="N5" s="348">
        <f>'14'!I5:I20</f>
        <v>0</v>
      </c>
      <c r="O5" s="491">
        <f>N5/4168*100</f>
        <v>0</v>
      </c>
      <c r="P5" s="408"/>
      <c r="Q5" s="414">
        <f>B5+E5+H5+K5+N5</f>
        <v>1421231</v>
      </c>
      <c r="R5" s="819">
        <f>Q5/16671329*100</f>
        <v>8.5250012161597919</v>
      </c>
      <c r="S5" s="741">
        <f>'12'!G5:G20</f>
        <v>0</v>
      </c>
    </row>
    <row r="6" spans="1:19" ht="20.25" customHeight="1">
      <c r="A6" s="336" t="s">
        <v>105</v>
      </c>
      <c r="B6" s="350">
        <f>'10'!I6:I22</f>
        <v>315561</v>
      </c>
      <c r="C6" s="532">
        <f t="shared" ref="C6:C21" si="0">B6/10356258*100</f>
        <v>3.0470561857381306</v>
      </c>
      <c r="D6" s="456"/>
      <c r="E6" s="415">
        <f>'11'!I6:I21</f>
        <v>21504</v>
      </c>
      <c r="F6" s="537">
        <f t="shared" ref="F6:F21" si="1">E6/6179124*100</f>
        <v>0.34801049469148054</v>
      </c>
      <c r="G6" s="350"/>
      <c r="H6" s="418">
        <v>781</v>
      </c>
      <c r="I6" s="538">
        <f t="shared" ref="I6:I21" si="2">H6/26940*100</f>
        <v>2.8990348923533782</v>
      </c>
      <c r="J6" s="363"/>
      <c r="K6" s="415">
        <f>'13'!J6:J21</f>
        <v>84421</v>
      </c>
      <c r="L6" s="538">
        <f t="shared" ref="L6:L21" si="3">K6/104839*100</f>
        <v>80.524423163135864</v>
      </c>
      <c r="M6" s="363"/>
      <c r="N6" s="348">
        <f>'14'!I6:I21</f>
        <v>0</v>
      </c>
      <c r="O6" s="491">
        <f t="shared" ref="O6:O21" si="4">N6/4168*100</f>
        <v>0</v>
      </c>
      <c r="P6" s="408"/>
      <c r="Q6" s="414">
        <f t="shared" ref="Q6:Q20" si="5">B6+E6+H6+K6+N6</f>
        <v>422267</v>
      </c>
      <c r="R6" s="539">
        <f t="shared" ref="R6:R21" si="6">Q6/16671329*100</f>
        <v>2.5328934483867482</v>
      </c>
      <c r="S6" s="741">
        <f>'12'!G6:G21</f>
        <v>0</v>
      </c>
    </row>
    <row r="7" spans="1:19" ht="20.25" customHeight="1">
      <c r="A7" s="346" t="s">
        <v>106</v>
      </c>
      <c r="B7" s="350">
        <f>'10'!I7:I23</f>
        <v>353598</v>
      </c>
      <c r="C7" s="532">
        <f t="shared" si="0"/>
        <v>3.4143413576602666</v>
      </c>
      <c r="D7" s="456"/>
      <c r="E7" s="415">
        <f>'11'!I7:I22</f>
        <v>360720</v>
      </c>
      <c r="F7" s="537">
        <f t="shared" si="1"/>
        <v>5.8377206866215987</v>
      </c>
      <c r="G7" s="350"/>
      <c r="H7" s="418">
        <f>'12'!J7:J22</f>
        <v>497</v>
      </c>
      <c r="I7" s="538">
        <f t="shared" si="2"/>
        <v>1.8448403860430587</v>
      </c>
      <c r="J7" s="348"/>
      <c r="K7" s="418">
        <f>'13'!J7:J22</f>
        <v>0</v>
      </c>
      <c r="L7" s="538">
        <f t="shared" si="3"/>
        <v>0</v>
      </c>
      <c r="M7" s="348"/>
      <c r="N7" s="348">
        <f>'14'!I7:I22</f>
        <v>667</v>
      </c>
      <c r="O7" s="491">
        <f t="shared" si="4"/>
        <v>16.002879078694818</v>
      </c>
      <c r="P7" s="408"/>
      <c r="Q7" s="414">
        <f t="shared" si="5"/>
        <v>715482</v>
      </c>
      <c r="R7" s="539">
        <f t="shared" si="6"/>
        <v>4.2916914422359485</v>
      </c>
      <c r="S7" s="741">
        <f>'12'!G7:G22</f>
        <v>0</v>
      </c>
    </row>
    <row r="8" spans="1:19" ht="20.25" customHeight="1">
      <c r="A8" s="346" t="s">
        <v>448</v>
      </c>
      <c r="B8" s="350">
        <f>'10'!I8:I24</f>
        <v>26940</v>
      </c>
      <c r="C8" s="532">
        <f t="shared" si="0"/>
        <v>0.26013256911907756</v>
      </c>
      <c r="D8" s="456"/>
      <c r="E8" s="350">
        <f>'11'!I8:I23</f>
        <v>75810</v>
      </c>
      <c r="F8" s="537">
        <f t="shared" si="1"/>
        <v>1.2268729353869576</v>
      </c>
      <c r="G8" s="350"/>
      <c r="H8" s="418">
        <f>'12'!J8:J23</f>
        <v>150</v>
      </c>
      <c r="I8" s="538">
        <f t="shared" si="2"/>
        <v>0.55679287305122493</v>
      </c>
      <c r="J8" s="363"/>
      <c r="K8" s="418">
        <f>'13'!J8:J23</f>
        <v>0</v>
      </c>
      <c r="L8" s="538">
        <f t="shared" si="3"/>
        <v>0</v>
      </c>
      <c r="M8" s="363"/>
      <c r="N8" s="348">
        <f>'14'!I8:I23</f>
        <v>0</v>
      </c>
      <c r="O8" s="491">
        <f t="shared" si="4"/>
        <v>0</v>
      </c>
      <c r="P8" s="408"/>
      <c r="Q8" s="414">
        <f t="shared" si="5"/>
        <v>102900</v>
      </c>
      <c r="R8" s="539">
        <f t="shared" si="6"/>
        <v>0.61722733682479669</v>
      </c>
      <c r="S8" s="741">
        <f>'12'!G8:G23</f>
        <v>0</v>
      </c>
    </row>
    <row r="9" spans="1:19" ht="20.25" customHeight="1">
      <c r="A9" s="407" t="s">
        <v>117</v>
      </c>
      <c r="B9" s="350">
        <f>'10'!I9:I25</f>
        <v>4000000</v>
      </c>
      <c r="C9" s="532">
        <f t="shared" si="0"/>
        <v>38.62398947573535</v>
      </c>
      <c r="D9" s="456"/>
      <c r="E9" s="415">
        <f>'11'!I9:I24</f>
        <v>250000</v>
      </c>
      <c r="F9" s="537">
        <f t="shared" si="1"/>
        <v>4.0458809371684401</v>
      </c>
      <c r="G9" s="350"/>
      <c r="H9" s="418">
        <f>'12'!J9:J24</f>
        <v>0</v>
      </c>
      <c r="I9" s="538">
        <f t="shared" si="2"/>
        <v>0</v>
      </c>
      <c r="J9" s="348"/>
      <c r="K9" s="418">
        <f>'13'!J9:J24</f>
        <v>0</v>
      </c>
      <c r="L9" s="538">
        <f t="shared" si="3"/>
        <v>0</v>
      </c>
      <c r="M9" s="348"/>
      <c r="N9" s="348">
        <f>'14'!I9:I24</f>
        <v>0</v>
      </c>
      <c r="O9" s="491">
        <f t="shared" si="4"/>
        <v>0</v>
      </c>
      <c r="P9" s="408"/>
      <c r="Q9" s="414">
        <f t="shared" si="5"/>
        <v>4250000</v>
      </c>
      <c r="R9" s="539">
        <f t="shared" si="6"/>
        <v>25.492868624930864</v>
      </c>
      <c r="S9" s="741">
        <f>'12'!G9:G24</f>
        <v>0</v>
      </c>
    </row>
    <row r="10" spans="1:19" ht="20.25" customHeight="1">
      <c r="A10" s="407" t="s">
        <v>108</v>
      </c>
      <c r="B10" s="350">
        <f>'10'!I10:I26</f>
        <v>534000</v>
      </c>
      <c r="C10" s="532">
        <f t="shared" si="0"/>
        <v>5.1563025950106685</v>
      </c>
      <c r="D10" s="456"/>
      <c r="E10" s="415">
        <f>'11'!I10:I25</f>
        <v>311183</v>
      </c>
      <c r="F10" s="537">
        <f t="shared" si="1"/>
        <v>5.0360374706835467</v>
      </c>
      <c r="G10" s="350"/>
      <c r="H10" s="418">
        <f>'12'!J10:J25</f>
        <v>0</v>
      </c>
      <c r="I10" s="538">
        <f t="shared" si="2"/>
        <v>0</v>
      </c>
      <c r="J10" s="348"/>
      <c r="K10" s="418">
        <f>'13'!J10:J25</f>
        <v>0</v>
      </c>
      <c r="L10" s="538">
        <f t="shared" si="3"/>
        <v>0</v>
      </c>
      <c r="M10" s="348"/>
      <c r="N10" s="348">
        <f>'14'!I10:I25</f>
        <v>191</v>
      </c>
      <c r="O10" s="491">
        <f t="shared" si="4"/>
        <v>4.5825335892514394</v>
      </c>
      <c r="P10" s="408"/>
      <c r="Q10" s="414">
        <f t="shared" si="5"/>
        <v>845374</v>
      </c>
      <c r="R10" s="539">
        <f t="shared" si="6"/>
        <v>5.0708254872781886</v>
      </c>
      <c r="S10" s="741">
        <f>'12'!G10:G25</f>
        <v>0</v>
      </c>
    </row>
    <row r="11" spans="1:19" ht="20.25" customHeight="1">
      <c r="A11" s="407" t="s">
        <v>110</v>
      </c>
      <c r="B11" s="350">
        <f>'10'!I11:I27</f>
        <v>341616</v>
      </c>
      <c r="C11" s="532">
        <f t="shared" si="0"/>
        <v>3.2986431971857013</v>
      </c>
      <c r="D11" s="456"/>
      <c r="E11" s="415">
        <f>'11'!I11:I26</f>
        <v>499316</v>
      </c>
      <c r="F11" s="537">
        <f t="shared" si="1"/>
        <v>8.0806923440927871</v>
      </c>
      <c r="G11" s="350"/>
      <c r="H11" s="418">
        <f>'12'!J11:J26</f>
        <v>198</v>
      </c>
      <c r="I11" s="538">
        <f t="shared" si="2"/>
        <v>0.73496659242761697</v>
      </c>
      <c r="J11" s="348"/>
      <c r="K11" s="418">
        <f>'13'!J11:J26</f>
        <v>0</v>
      </c>
      <c r="L11" s="538">
        <f t="shared" si="3"/>
        <v>0</v>
      </c>
      <c r="M11" s="348"/>
      <c r="N11" s="348">
        <f>'14'!I11:I26</f>
        <v>1834</v>
      </c>
      <c r="O11" s="491">
        <f t="shared" si="4"/>
        <v>44.001919385796548</v>
      </c>
      <c r="P11" s="408"/>
      <c r="Q11" s="414">
        <f t="shared" si="5"/>
        <v>842964</v>
      </c>
      <c r="R11" s="539">
        <f t="shared" si="6"/>
        <v>5.0563695311873458</v>
      </c>
      <c r="S11" s="741">
        <f>'12'!G11:G26</f>
        <v>0</v>
      </c>
    </row>
    <row r="12" spans="1:19" ht="20.25" customHeight="1">
      <c r="A12" s="407" t="s">
        <v>102</v>
      </c>
      <c r="B12" s="350">
        <f>'10'!I12:I28</f>
        <v>619520</v>
      </c>
      <c r="C12" s="532">
        <f t="shared" si="0"/>
        <v>5.9820834900018909</v>
      </c>
      <c r="D12" s="456"/>
      <c r="E12" s="415">
        <f>'11'!I12:I27</f>
        <v>119116</v>
      </c>
      <c r="F12" s="537">
        <f t="shared" si="1"/>
        <v>1.9277166148470237</v>
      </c>
      <c r="G12" s="350"/>
      <c r="H12" s="418">
        <f>'12'!J12:J27</f>
        <v>668</v>
      </c>
      <c r="I12" s="538">
        <f t="shared" si="2"/>
        <v>2.4795842613214552</v>
      </c>
      <c r="J12" s="348"/>
      <c r="K12" s="418">
        <f>'13'!J12:J27</f>
        <v>0</v>
      </c>
      <c r="L12" s="538">
        <f t="shared" si="3"/>
        <v>0</v>
      </c>
      <c r="M12" s="348"/>
      <c r="N12" s="348">
        <f>'14'!I12:I27</f>
        <v>0</v>
      </c>
      <c r="O12" s="491">
        <f t="shared" si="4"/>
        <v>0</v>
      </c>
      <c r="P12" s="408"/>
      <c r="Q12" s="414">
        <f t="shared" si="5"/>
        <v>739304</v>
      </c>
      <c r="R12" s="539">
        <f t="shared" si="6"/>
        <v>4.4345834696202084</v>
      </c>
      <c r="S12" s="741">
        <f>'12'!G12:G27</f>
        <v>105</v>
      </c>
    </row>
    <row r="13" spans="1:19" ht="20.25" customHeight="1">
      <c r="A13" s="407" t="s">
        <v>109</v>
      </c>
      <c r="B13" s="350">
        <f>'10'!I13:I29</f>
        <v>399882</v>
      </c>
      <c r="C13" s="532">
        <f t="shared" si="0"/>
        <v>3.8612595398840011</v>
      </c>
      <c r="D13" s="456"/>
      <c r="E13" s="415">
        <f>'11'!I13:I28</f>
        <v>367982</v>
      </c>
      <c r="F13" s="537">
        <f t="shared" si="1"/>
        <v>5.9552454360844678</v>
      </c>
      <c r="G13" s="350"/>
      <c r="H13" s="418">
        <f>'12'!J13:J28</f>
        <v>650</v>
      </c>
      <c r="I13" s="538">
        <f t="shared" si="2"/>
        <v>2.412769116555308</v>
      </c>
      <c r="J13" s="348"/>
      <c r="K13" s="418">
        <f>'13'!J13:J28</f>
        <v>0</v>
      </c>
      <c r="L13" s="538">
        <f t="shared" si="3"/>
        <v>0</v>
      </c>
      <c r="M13" s="348"/>
      <c r="N13" s="348">
        <f>'14'!I13:I28</f>
        <v>270</v>
      </c>
      <c r="O13" s="491">
        <f t="shared" si="4"/>
        <v>6.477927063339731</v>
      </c>
      <c r="P13" s="408"/>
      <c r="Q13" s="414">
        <f t="shared" si="5"/>
        <v>768784</v>
      </c>
      <c r="R13" s="539">
        <f t="shared" si="6"/>
        <v>4.6114140030467876</v>
      </c>
      <c r="S13" s="741">
        <f>'12'!G13:G28</f>
        <v>200</v>
      </c>
    </row>
    <row r="14" spans="1:19" ht="20.25" customHeight="1">
      <c r="A14" s="410" t="s">
        <v>107</v>
      </c>
      <c r="B14" s="350">
        <f>'10'!I14:I30</f>
        <v>472356</v>
      </c>
      <c r="C14" s="532">
        <f t="shared" si="0"/>
        <v>4.5610682932001119</v>
      </c>
      <c r="D14" s="457"/>
      <c r="E14" s="415">
        <f>'11'!I14:I29</f>
        <v>481514</v>
      </c>
      <c r="F14" s="537">
        <f t="shared" si="1"/>
        <v>7.7925932543188967</v>
      </c>
      <c r="G14" s="361"/>
      <c r="H14" s="418">
        <f>'12'!J14:J29</f>
        <v>240</v>
      </c>
      <c r="I14" s="538">
        <f t="shared" si="2"/>
        <v>0.89086859688195985</v>
      </c>
      <c r="J14" s="348"/>
      <c r="K14" s="415">
        <f>'13'!J14:J29</f>
        <v>5400</v>
      </c>
      <c r="L14" s="538">
        <f t="shared" si="3"/>
        <v>5.1507549671400907</v>
      </c>
      <c r="M14" s="348"/>
      <c r="N14" s="348">
        <f>'14'!I14:I29</f>
        <v>306</v>
      </c>
      <c r="O14" s="491">
        <f t="shared" si="4"/>
        <v>7.3416506717850289</v>
      </c>
      <c r="P14" s="409"/>
      <c r="Q14" s="414">
        <f t="shared" si="5"/>
        <v>959816</v>
      </c>
      <c r="R14" s="539">
        <f t="shared" si="6"/>
        <v>5.7572854569662688</v>
      </c>
      <c r="S14" s="741">
        <f>'12'!G14:G29</f>
        <v>0</v>
      </c>
    </row>
    <row r="15" spans="1:19" ht="20.25" customHeight="1">
      <c r="A15" s="410" t="s">
        <v>111</v>
      </c>
      <c r="B15" s="350">
        <f>'10'!I15:I31</f>
        <v>467000</v>
      </c>
      <c r="C15" s="532">
        <f t="shared" si="0"/>
        <v>4.5093507712921017</v>
      </c>
      <c r="D15" s="457"/>
      <c r="E15" s="415">
        <f>'11'!I15:I30</f>
        <v>359000</v>
      </c>
      <c r="F15" s="537">
        <f t="shared" si="1"/>
        <v>5.8098850257738794</v>
      </c>
      <c r="G15" s="361"/>
      <c r="H15" s="415">
        <f>'12'!J15:J30</f>
        <v>2500</v>
      </c>
      <c r="I15" s="538">
        <f>H15/26940*100</f>
        <v>9.2798812175204155</v>
      </c>
      <c r="J15" s="348"/>
      <c r="K15" s="415">
        <f>'13'!J15:J30</f>
        <v>1000</v>
      </c>
      <c r="L15" s="538">
        <f t="shared" si="3"/>
        <v>0.95384351243335019</v>
      </c>
      <c r="M15" s="348"/>
      <c r="N15" s="348">
        <f>'14'!I15:I30</f>
        <v>12</v>
      </c>
      <c r="O15" s="491">
        <f t="shared" si="4"/>
        <v>0.28790786948176583</v>
      </c>
      <c r="P15" s="409"/>
      <c r="Q15" s="414">
        <f t="shared" si="5"/>
        <v>829512</v>
      </c>
      <c r="R15" s="539">
        <f t="shared" si="6"/>
        <v>4.9756801032479174</v>
      </c>
      <c r="S15" s="741">
        <f>'12'!G15:G30</f>
        <v>0</v>
      </c>
    </row>
    <row r="16" spans="1:19" ht="20.25" customHeight="1">
      <c r="A16" s="410" t="s">
        <v>112</v>
      </c>
      <c r="B16" s="350">
        <f>'10'!I16:I32</f>
        <v>455400</v>
      </c>
      <c r="C16" s="532">
        <f t="shared" si="0"/>
        <v>4.3973412018124689</v>
      </c>
      <c r="D16" s="457"/>
      <c r="E16" s="415">
        <f>'11'!I16:I31</f>
        <v>222163</v>
      </c>
      <c r="F16" s="537">
        <f t="shared" si="1"/>
        <v>3.5953801865766084</v>
      </c>
      <c r="G16" s="361"/>
      <c r="H16" s="415">
        <f>'12'!J16:J31</f>
        <v>200</v>
      </c>
      <c r="I16" s="538">
        <f t="shared" si="2"/>
        <v>0.74239049740163321</v>
      </c>
      <c r="J16" s="348"/>
      <c r="K16" s="415">
        <f>'13'!J16:J31</f>
        <v>175</v>
      </c>
      <c r="L16" s="538">
        <f t="shared" si="3"/>
        <v>0.16692261467583627</v>
      </c>
      <c r="M16" s="348"/>
      <c r="N16" s="348">
        <f>'14'!I16:I31</f>
        <v>720</v>
      </c>
      <c r="O16" s="491">
        <f t="shared" si="4"/>
        <v>17.274472168905948</v>
      </c>
      <c r="P16" s="409"/>
      <c r="Q16" s="414">
        <f t="shared" si="5"/>
        <v>678658</v>
      </c>
      <c r="R16" s="539">
        <f t="shared" si="6"/>
        <v>4.0708092318254891</v>
      </c>
      <c r="S16" s="741">
        <f>'12'!G16:G31</f>
        <v>0</v>
      </c>
    </row>
    <row r="17" spans="1:19" ht="20.25" customHeight="1">
      <c r="A17" s="410" t="s">
        <v>113</v>
      </c>
      <c r="B17" s="350">
        <f>'10'!I17:I33</f>
        <v>192450</v>
      </c>
      <c r="C17" s="532">
        <f t="shared" si="0"/>
        <v>1.8582966936513168</v>
      </c>
      <c r="D17" s="457"/>
      <c r="E17" s="415">
        <f>'11'!I17:I32</f>
        <v>123380</v>
      </c>
      <c r="F17" s="537">
        <f t="shared" si="1"/>
        <v>1.9967231601113684</v>
      </c>
      <c r="G17" s="361"/>
      <c r="H17" s="415">
        <f>'12'!J17:J32</f>
        <v>1750</v>
      </c>
      <c r="I17" s="538">
        <f t="shared" si="2"/>
        <v>6.4959168522642914</v>
      </c>
      <c r="J17" s="348"/>
      <c r="K17" s="415">
        <f>'13'!J17:J32</f>
        <v>1400</v>
      </c>
      <c r="L17" s="538">
        <f t="shared" si="3"/>
        <v>1.3353809174066902</v>
      </c>
      <c r="M17" s="348"/>
      <c r="N17" s="348">
        <f>'14'!I17:I32</f>
        <v>0</v>
      </c>
      <c r="O17" s="491">
        <f t="shared" si="4"/>
        <v>0</v>
      </c>
      <c r="P17" s="409"/>
      <c r="Q17" s="414">
        <f t="shared" si="5"/>
        <v>318980</v>
      </c>
      <c r="R17" s="539">
        <f t="shared" si="6"/>
        <v>1.9133447609365757</v>
      </c>
      <c r="S17" s="741">
        <f>'12'!G17:G32</f>
        <v>1600</v>
      </c>
    </row>
    <row r="18" spans="1:19" ht="20.25" customHeight="1">
      <c r="A18" s="410" t="s">
        <v>114</v>
      </c>
      <c r="B18" s="350">
        <f>'10'!I18:I34</f>
        <v>335400</v>
      </c>
      <c r="C18" s="532">
        <f t="shared" si="0"/>
        <v>3.2386215175404089</v>
      </c>
      <c r="D18" s="457"/>
      <c r="E18" s="350">
        <f>'11'!I18:I33</f>
        <v>337858</v>
      </c>
      <c r="F18" s="537">
        <f t="shared" si="1"/>
        <v>5.467732966679419</v>
      </c>
      <c r="G18" s="361"/>
      <c r="H18" s="415">
        <f>'12'!J18:J33</f>
        <v>2022</v>
      </c>
      <c r="I18" s="538">
        <f t="shared" si="2"/>
        <v>7.5055679287305122</v>
      </c>
      <c r="J18" s="348"/>
      <c r="K18" s="418">
        <f>'13'!J18:J33</f>
        <v>0</v>
      </c>
      <c r="L18" s="538">
        <f t="shared" si="3"/>
        <v>0</v>
      </c>
      <c r="M18" s="348"/>
      <c r="N18" s="348">
        <f>'14'!I18:I33</f>
        <v>168</v>
      </c>
      <c r="O18" s="491">
        <f t="shared" si="4"/>
        <v>4.0307101727447217</v>
      </c>
      <c r="P18" s="409"/>
      <c r="Q18" s="414">
        <f t="shared" si="5"/>
        <v>675448</v>
      </c>
      <c r="R18" s="539">
        <f t="shared" si="6"/>
        <v>4.0515546181111297</v>
      </c>
      <c r="S18" s="741">
        <f>'12'!G18:G33</f>
        <v>2022</v>
      </c>
    </row>
    <row r="19" spans="1:19" ht="20.25" customHeight="1">
      <c r="A19" s="410" t="s">
        <v>115</v>
      </c>
      <c r="B19" s="350">
        <f>'10'!I19:I35</f>
        <v>165825</v>
      </c>
      <c r="C19" s="532">
        <f t="shared" si="0"/>
        <v>1.6012057637034536</v>
      </c>
      <c r="D19" s="457"/>
      <c r="E19" s="415">
        <f>'11'!I19:I34</f>
        <v>352080</v>
      </c>
      <c r="F19" s="537">
        <f t="shared" si="1"/>
        <v>5.6978950414330578</v>
      </c>
      <c r="G19" s="361"/>
      <c r="H19" s="415">
        <f>'12'!J19:J34</f>
        <v>6750</v>
      </c>
      <c r="I19" s="538">
        <f t="shared" si="2"/>
        <v>25.055679287305122</v>
      </c>
      <c r="J19" s="348"/>
      <c r="K19" s="418">
        <f>'13'!J19:J34</f>
        <v>0</v>
      </c>
      <c r="L19" s="538">
        <f t="shared" si="3"/>
        <v>0</v>
      </c>
      <c r="M19" s="348"/>
      <c r="N19" s="348">
        <f>'14'!I19:I34</f>
        <v>0</v>
      </c>
      <c r="O19" s="491">
        <f t="shared" si="4"/>
        <v>0</v>
      </c>
      <c r="P19" s="409"/>
      <c r="Q19" s="414">
        <f t="shared" si="5"/>
        <v>524655</v>
      </c>
      <c r="R19" s="539">
        <f t="shared" si="6"/>
        <v>3.1470496443324949</v>
      </c>
      <c r="S19" s="741">
        <f>'12'!G19:G34</f>
        <v>6750</v>
      </c>
    </row>
    <row r="20" spans="1:19" ht="20.25" customHeight="1" thickBot="1">
      <c r="A20" s="410" t="s">
        <v>116</v>
      </c>
      <c r="B20" s="350">
        <f>'10'!I20:I36</f>
        <v>339480</v>
      </c>
      <c r="C20" s="560">
        <f t="shared" si="0"/>
        <v>3.2780179868056591</v>
      </c>
      <c r="D20" s="561"/>
      <c r="E20" s="415">
        <f>'11'!I20:I35</f>
        <v>2225940</v>
      </c>
      <c r="F20" s="537">
        <f t="shared" si="1"/>
        <v>36.023552853122872</v>
      </c>
      <c r="G20" s="357"/>
      <c r="H20" s="415">
        <f>'12'!J20:J35</f>
        <v>10534</v>
      </c>
      <c r="I20" s="538">
        <f t="shared" si="2"/>
        <v>39.101707498144023</v>
      </c>
      <c r="J20" s="562"/>
      <c r="K20" s="418">
        <f>'13'!J20:J35</f>
        <v>0</v>
      </c>
      <c r="L20" s="538">
        <f t="shared" si="3"/>
        <v>0</v>
      </c>
      <c r="M20" s="562"/>
      <c r="N20" s="348">
        <f>'14'!I20:I35</f>
        <v>0</v>
      </c>
      <c r="O20" s="491">
        <f t="shared" si="4"/>
        <v>0</v>
      </c>
      <c r="P20" s="563"/>
      <c r="Q20" s="414">
        <f t="shared" si="5"/>
        <v>2575954</v>
      </c>
      <c r="R20" s="539">
        <f t="shared" si="6"/>
        <v>15.451401624909447</v>
      </c>
      <c r="S20" s="741">
        <f>'12'!G20:G35</f>
        <v>10534</v>
      </c>
    </row>
    <row r="21" spans="1:19" ht="20.25" customHeight="1" thickTop="1" thickBot="1">
      <c r="A21" s="374" t="s">
        <v>410</v>
      </c>
      <c r="B21" s="416">
        <f>SUM(B5:B20)</f>
        <v>10356258</v>
      </c>
      <c r="C21" s="536">
        <f t="shared" si="0"/>
        <v>100</v>
      </c>
      <c r="D21" s="458"/>
      <c r="E21" s="416">
        <f>SUM(E5:E20)</f>
        <v>6179124</v>
      </c>
      <c r="F21" s="536">
        <f t="shared" si="1"/>
        <v>100</v>
      </c>
      <c r="G21" s="377"/>
      <c r="H21" s="416">
        <f>SUM(H5:H20)</f>
        <v>26940</v>
      </c>
      <c r="I21" s="536">
        <f t="shared" si="2"/>
        <v>100</v>
      </c>
      <c r="J21" s="377"/>
      <c r="K21" s="416">
        <f>SUM(K5:K20)</f>
        <v>104839</v>
      </c>
      <c r="L21" s="536">
        <f t="shared" si="3"/>
        <v>100</v>
      </c>
      <c r="M21" s="377"/>
      <c r="N21" s="416">
        <f>SUM(N5:N20)</f>
        <v>4168</v>
      </c>
      <c r="O21" s="536">
        <f t="shared" si="4"/>
        <v>100</v>
      </c>
      <c r="P21" s="411"/>
      <c r="Q21" s="416">
        <f>SUM(Q5:Q20)</f>
        <v>16671329</v>
      </c>
      <c r="R21" s="536">
        <f t="shared" si="6"/>
        <v>100</v>
      </c>
      <c r="S21" s="416">
        <f>SUM(S5:S20)</f>
        <v>21211</v>
      </c>
    </row>
    <row r="22" spans="1:19" s="345" customFormat="1" ht="17.25" customHeight="1" thickTop="1">
      <c r="A22" s="1032" t="s">
        <v>431</v>
      </c>
      <c r="B22" s="1032"/>
      <c r="C22" s="1032"/>
      <c r="D22" s="1032"/>
      <c r="E22" s="1032"/>
      <c r="F22" s="1032"/>
      <c r="G22" s="1032"/>
      <c r="H22" s="1032"/>
      <c r="I22" s="1032"/>
      <c r="J22" s="1032"/>
      <c r="K22" s="1032"/>
      <c r="L22" s="814"/>
      <c r="M22" s="814"/>
      <c r="N22" s="814"/>
      <c r="O22" s="814"/>
      <c r="P22" s="814"/>
      <c r="Q22" s="814"/>
    </row>
    <row r="23" spans="1:19" s="345" customFormat="1" ht="17.25" customHeight="1">
      <c r="A23" s="961" t="s">
        <v>432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351"/>
    </row>
    <row r="24" spans="1:19" s="345" customFormat="1" ht="17.25" customHeight="1" thickBot="1">
      <c r="A24" s="1031"/>
      <c r="B24" s="1031"/>
      <c r="C24" s="1031"/>
      <c r="D24" s="1031"/>
      <c r="E24" s="1031"/>
      <c r="F24" s="1031"/>
      <c r="G24" s="1031"/>
      <c r="H24" s="1031"/>
      <c r="I24" s="1031"/>
      <c r="J24" s="1031"/>
      <c r="K24" s="1031"/>
      <c r="L24" s="1031"/>
      <c r="M24" s="1031"/>
      <c r="N24" s="1031"/>
      <c r="O24" s="1031"/>
      <c r="P24" s="1031"/>
      <c r="Q24" s="1031"/>
      <c r="R24" s="351"/>
    </row>
    <row r="25" spans="1:19" ht="17.25" customHeight="1">
      <c r="A25" s="1040" t="s">
        <v>336</v>
      </c>
      <c r="B25" s="1040"/>
      <c r="C25" s="1040"/>
      <c r="D25" s="1040"/>
      <c r="E25" s="1040"/>
      <c r="F25" s="490"/>
      <c r="G25" s="490"/>
      <c r="H25" s="490"/>
      <c r="I25" s="490"/>
      <c r="J25" s="1040"/>
      <c r="K25" s="1040"/>
      <c r="L25" s="1040"/>
      <c r="M25" s="1040"/>
      <c r="N25" s="1040"/>
      <c r="O25" s="1040"/>
      <c r="P25" s="1040"/>
      <c r="Q25" s="468"/>
      <c r="R25" s="485"/>
      <c r="S25" s="485">
        <v>39</v>
      </c>
    </row>
  </sheetData>
  <mergeCells count="14">
    <mergeCell ref="S3:S4"/>
    <mergeCell ref="A1:S1"/>
    <mergeCell ref="A25:E25"/>
    <mergeCell ref="J25:P25"/>
    <mergeCell ref="A3:A4"/>
    <mergeCell ref="B3:C3"/>
    <mergeCell ref="E3:F3"/>
    <mergeCell ref="H3:I3"/>
    <mergeCell ref="N3:O3"/>
    <mergeCell ref="Q3:R3"/>
    <mergeCell ref="A23:Q23"/>
    <mergeCell ref="A24:Q24"/>
    <mergeCell ref="K3:L3"/>
    <mergeCell ref="A22:K2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K26"/>
  <sheetViews>
    <sheetView rightToLeft="1" tabSelected="1" view="pageBreakPreview" zoomScaleNormal="110" zoomScaleSheetLayoutView="100" workbookViewId="0">
      <selection activeCell="W2" sqref="W2:W3"/>
    </sheetView>
  </sheetViews>
  <sheetFormatPr defaultRowHeight="14.25"/>
  <cols>
    <col min="1" max="1" width="10" customWidth="1"/>
    <col min="2" max="2" width="11.75" customWidth="1"/>
    <col min="3" max="3" width="6.75" customWidth="1"/>
    <col min="4" max="4" width="1.375" customWidth="1"/>
    <col min="5" max="5" width="11.125" customWidth="1"/>
    <col min="6" max="6" width="6.75" customWidth="1"/>
    <col min="7" max="7" width="0.875" customWidth="1"/>
    <col min="8" max="8" width="11.75" customWidth="1"/>
    <col min="9" max="9" width="6.75" customWidth="1"/>
    <col min="10" max="10" width="0.625" customWidth="1"/>
    <col min="11" max="11" width="11.75" customWidth="1"/>
    <col min="12" max="12" width="6.125" customWidth="1"/>
    <col min="13" max="13" width="0.75" customWidth="1"/>
    <col min="14" max="14" width="10.875" customWidth="1"/>
    <col min="15" max="15" width="6.75" customWidth="1"/>
    <col min="16" max="16" width="0.75" customWidth="1"/>
    <col min="17" max="17" width="10.75" customWidth="1"/>
    <col min="18" max="18" width="9.25" customWidth="1"/>
    <col min="19" max="19" width="0.75" customWidth="1"/>
    <col min="20" max="20" width="11.75" customWidth="1"/>
    <col min="21" max="21" width="6.75" customWidth="1"/>
  </cols>
  <sheetData>
    <row r="1" spans="1:37" ht="22.5" customHeight="1">
      <c r="A1" s="1044" t="s">
        <v>472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1044"/>
      <c r="N1" s="1044"/>
      <c r="O1" s="1044"/>
      <c r="P1" s="1044"/>
      <c r="Q1" s="1044"/>
      <c r="R1" s="1044"/>
      <c r="S1" s="1044"/>
      <c r="T1" s="1044"/>
    </row>
    <row r="2" spans="1:37" ht="22.5" customHeight="1" thickBot="1">
      <c r="A2" s="405" t="s">
        <v>360</v>
      </c>
      <c r="B2" s="406"/>
      <c r="C2" s="406"/>
      <c r="D2" s="406"/>
      <c r="E2" s="406"/>
      <c r="F2" s="406"/>
      <c r="G2" s="406"/>
      <c r="H2" s="406"/>
      <c r="I2" s="406"/>
      <c r="J2" s="405"/>
      <c r="K2" s="406"/>
      <c r="L2" s="406"/>
      <c r="M2" s="405"/>
      <c r="N2" s="406"/>
      <c r="O2" s="406"/>
      <c r="P2" s="406"/>
      <c r="Q2" s="406"/>
      <c r="R2" s="406"/>
      <c r="S2" s="406"/>
      <c r="T2" s="406"/>
    </row>
    <row r="3" spans="1:37" ht="39" customHeight="1" thickTop="1">
      <c r="A3" s="1041" t="s">
        <v>103</v>
      </c>
      <c r="B3" s="1043" t="s">
        <v>351</v>
      </c>
      <c r="C3" s="1043"/>
      <c r="D3" s="473"/>
      <c r="E3" s="1043" t="s">
        <v>338</v>
      </c>
      <c r="F3" s="1043"/>
      <c r="G3" s="473"/>
      <c r="H3" s="1043" t="s">
        <v>345</v>
      </c>
      <c r="I3" s="1043"/>
      <c r="J3" s="473"/>
      <c r="K3" s="1043" t="s">
        <v>486</v>
      </c>
      <c r="L3" s="1043"/>
      <c r="M3" s="655"/>
      <c r="N3" s="1043" t="s">
        <v>348</v>
      </c>
      <c r="O3" s="1043"/>
      <c r="P3" s="473"/>
      <c r="Q3" s="1045" t="s">
        <v>424</v>
      </c>
      <c r="R3" s="1045"/>
      <c r="S3" s="473"/>
      <c r="T3" s="1043" t="s">
        <v>437</v>
      </c>
      <c r="U3" s="1043"/>
    </row>
    <row r="4" spans="1:37" ht="21.75" customHeight="1">
      <c r="A4" s="1042"/>
      <c r="B4" s="486" t="s">
        <v>412</v>
      </c>
      <c r="C4" s="487" t="s">
        <v>335</v>
      </c>
      <c r="D4" s="412"/>
      <c r="E4" s="486" t="s">
        <v>412</v>
      </c>
      <c r="F4" s="487" t="s">
        <v>335</v>
      </c>
      <c r="G4" s="412"/>
      <c r="H4" s="486" t="s">
        <v>412</v>
      </c>
      <c r="I4" s="487" t="s">
        <v>335</v>
      </c>
      <c r="J4" s="412"/>
      <c r="K4" s="486" t="s">
        <v>412</v>
      </c>
      <c r="L4" s="487" t="s">
        <v>335</v>
      </c>
      <c r="M4" s="412"/>
      <c r="N4" s="486" t="s">
        <v>412</v>
      </c>
      <c r="O4" s="487" t="s">
        <v>335</v>
      </c>
      <c r="P4" s="455"/>
      <c r="Q4" s="1133" t="s">
        <v>412</v>
      </c>
      <c r="R4" s="487" t="s">
        <v>335</v>
      </c>
      <c r="S4" s="455"/>
      <c r="T4" s="486" t="s">
        <v>412</v>
      </c>
      <c r="U4" s="487" t="s">
        <v>335</v>
      </c>
    </row>
    <row r="5" spans="1:37" ht="21" customHeight="1">
      <c r="A5" s="336" t="s">
        <v>104</v>
      </c>
      <c r="B5" s="350">
        <f>'10'!F5:F20</f>
        <v>1273552</v>
      </c>
      <c r="C5" s="532">
        <f>B5/9202983*100</f>
        <v>13.838469548406207</v>
      </c>
      <c r="D5" s="456"/>
      <c r="E5" s="415">
        <f>'11'!F5:F20</f>
        <v>68150</v>
      </c>
      <c r="F5" s="537">
        <f>E5/4495090*100</f>
        <v>1.5160986765559756</v>
      </c>
      <c r="G5" s="350"/>
      <c r="H5" s="418">
        <f>'12'!F5:F20</f>
        <v>0</v>
      </c>
      <c r="I5" s="538">
        <f>H5/18160*100</f>
        <v>0</v>
      </c>
      <c r="J5" s="363"/>
      <c r="K5" s="415">
        <f>'13'!I5:I20</f>
        <v>11850</v>
      </c>
      <c r="L5" s="538">
        <f>K5/95117*100</f>
        <v>12.458340780302155</v>
      </c>
      <c r="M5" s="363"/>
      <c r="N5" s="348">
        <f>'14'!F5:F20</f>
        <v>0</v>
      </c>
      <c r="O5" s="491">
        <f>N5/3193*100</f>
        <v>0</v>
      </c>
      <c r="P5" s="408"/>
      <c r="Q5" s="408">
        <f>'16'!S5:S20</f>
        <v>0</v>
      </c>
      <c r="R5" s="541">
        <f>Q5/21211*100</f>
        <v>0</v>
      </c>
      <c r="S5" s="408"/>
      <c r="T5" s="414">
        <f>B5+E5+H5+K5+N5</f>
        <v>1353552</v>
      </c>
      <c r="U5" s="539">
        <f>T5/13793332*100</f>
        <v>9.8130893971086905</v>
      </c>
      <c r="W5" s="350">
        <v>0</v>
      </c>
      <c r="X5" s="532"/>
      <c r="Y5" s="456"/>
      <c r="Z5" s="415">
        <v>0</v>
      </c>
      <c r="AA5" s="537"/>
      <c r="AB5" s="350"/>
      <c r="AC5" s="418">
        <v>0</v>
      </c>
      <c r="AD5" s="538"/>
      <c r="AE5" s="363"/>
      <c r="AF5" s="418">
        <v>0</v>
      </c>
      <c r="AG5" s="538"/>
      <c r="AH5" s="363"/>
      <c r="AI5" s="348">
        <v>0</v>
      </c>
      <c r="AK5" s="742">
        <f>W5+Z5+AC5+AF5+AI5</f>
        <v>0</v>
      </c>
    </row>
    <row r="6" spans="1:37" ht="21" customHeight="1">
      <c r="A6" s="336" t="s">
        <v>105</v>
      </c>
      <c r="B6" s="350">
        <f>'10'!F6:F21</f>
        <v>312048</v>
      </c>
      <c r="C6" s="532">
        <f t="shared" ref="C6:C21" si="0">B6/9202983*100</f>
        <v>3.3907266806860341</v>
      </c>
      <c r="D6" s="456"/>
      <c r="E6" s="415">
        <f>'11'!F6:F21</f>
        <v>20878</v>
      </c>
      <c r="F6" s="537">
        <f t="shared" ref="F6:F21" si="1">E6/4495090*100</f>
        <v>0.46446233557058925</v>
      </c>
      <c r="G6" s="350"/>
      <c r="H6" s="418">
        <f>'12'!F6:F21</f>
        <v>558</v>
      </c>
      <c r="I6" s="538">
        <f t="shared" ref="I6:I21" si="2">H6/18160*100</f>
        <v>3.0726872246696035</v>
      </c>
      <c r="J6" s="363"/>
      <c r="K6" s="415">
        <f>'13'!I6:I21</f>
        <v>78167</v>
      </c>
      <c r="L6" s="538">
        <f t="shared" ref="L6:L21" si="3">K6/95117*100</f>
        <v>82.179841668681732</v>
      </c>
      <c r="M6" s="363"/>
      <c r="N6" s="348">
        <f>'14'!F6:F21</f>
        <v>0</v>
      </c>
      <c r="O6" s="491">
        <f t="shared" ref="O6:O21" si="4">N6/3193*100</f>
        <v>0</v>
      </c>
      <c r="P6" s="408"/>
      <c r="Q6" s="408">
        <f>'16'!S6:S21</f>
        <v>0</v>
      </c>
      <c r="R6" s="541">
        <f t="shared" ref="R6:R21" si="5">Q6/21211*100</f>
        <v>0</v>
      </c>
      <c r="S6" s="408"/>
      <c r="T6" s="414">
        <f t="shared" ref="T6:T20" si="6">AK6-Q6</f>
        <v>411651</v>
      </c>
      <c r="U6" s="539">
        <f t="shared" ref="U6:U21" si="7">T6/13793332*100</f>
        <v>2.9844202981556598</v>
      </c>
      <c r="W6" s="350">
        <v>312048</v>
      </c>
      <c r="X6" s="532"/>
      <c r="Y6" s="456"/>
      <c r="Z6" s="415">
        <v>20878</v>
      </c>
      <c r="AA6" s="537"/>
      <c r="AB6" s="350"/>
      <c r="AC6" s="418">
        <v>558</v>
      </c>
      <c r="AD6" s="538"/>
      <c r="AE6" s="363"/>
      <c r="AF6" s="418">
        <v>78167</v>
      </c>
      <c r="AG6" s="538"/>
      <c r="AH6" s="363"/>
      <c r="AI6" s="348">
        <v>0</v>
      </c>
      <c r="AK6" s="742">
        <f t="shared" ref="AK6:AK20" si="8">W6+Z6+AC6+AF6+AI6</f>
        <v>411651</v>
      </c>
    </row>
    <row r="7" spans="1:37" ht="21" customHeight="1">
      <c r="A7" s="346" t="s">
        <v>106</v>
      </c>
      <c r="B7" s="350">
        <f>'10'!F7:F22</f>
        <v>350098</v>
      </c>
      <c r="C7" s="532">
        <f t="shared" si="0"/>
        <v>3.8041795795993538</v>
      </c>
      <c r="D7" s="456"/>
      <c r="E7" s="415">
        <f>'11'!F7:F22</f>
        <v>300600</v>
      </c>
      <c r="F7" s="537">
        <f t="shared" si="1"/>
        <v>6.6872965836056677</v>
      </c>
      <c r="G7" s="350"/>
      <c r="H7" s="418">
        <f>'12'!F7:F22</f>
        <v>442</v>
      </c>
      <c r="I7" s="538">
        <f t="shared" si="2"/>
        <v>2.4339207048458147</v>
      </c>
      <c r="J7" s="348"/>
      <c r="K7" s="418">
        <f>'13'!I7:I22</f>
        <v>0</v>
      </c>
      <c r="L7" s="538">
        <f t="shared" si="3"/>
        <v>0</v>
      </c>
      <c r="M7" s="348"/>
      <c r="N7" s="348">
        <f>'14'!F7:F22</f>
        <v>660</v>
      </c>
      <c r="O7" s="491">
        <f t="shared" si="4"/>
        <v>20.670216097713748</v>
      </c>
      <c r="P7" s="408"/>
      <c r="Q7" s="408">
        <f>'16'!S7:S22</f>
        <v>0</v>
      </c>
      <c r="R7" s="541">
        <f t="shared" si="5"/>
        <v>0</v>
      </c>
      <c r="S7" s="408"/>
      <c r="T7" s="414">
        <f t="shared" si="6"/>
        <v>651800</v>
      </c>
      <c r="U7" s="539">
        <f t="shared" si="7"/>
        <v>4.7254716989339487</v>
      </c>
      <c r="W7" s="350">
        <v>350098</v>
      </c>
      <c r="X7" s="532"/>
      <c r="Y7" s="456"/>
      <c r="Z7" s="415">
        <v>300600</v>
      </c>
      <c r="AA7" s="537"/>
      <c r="AB7" s="350"/>
      <c r="AC7" s="418">
        <v>442</v>
      </c>
      <c r="AD7" s="538"/>
      <c r="AE7" s="348"/>
      <c r="AF7" s="418">
        <v>0</v>
      </c>
      <c r="AG7" s="538"/>
      <c r="AH7" s="348"/>
      <c r="AI7" s="348">
        <v>660</v>
      </c>
      <c r="AK7" s="742">
        <f t="shared" si="8"/>
        <v>651800</v>
      </c>
    </row>
    <row r="8" spans="1:37" ht="21" customHeight="1">
      <c r="A8" s="346" t="s">
        <v>448</v>
      </c>
      <c r="B8" s="350">
        <f>'10'!F8:F23</f>
        <v>14312</v>
      </c>
      <c r="C8" s="532">
        <f t="shared" si="0"/>
        <v>0.15551479340991936</v>
      </c>
      <c r="D8" s="456"/>
      <c r="E8" s="415">
        <f>'11'!F8:F23</f>
        <v>37905</v>
      </c>
      <c r="F8" s="537">
        <f t="shared" si="1"/>
        <v>0.84325341650556496</v>
      </c>
      <c r="G8" s="350"/>
      <c r="H8" s="418">
        <f>'12'!F8:F23</f>
        <v>75</v>
      </c>
      <c r="I8" s="538">
        <f t="shared" si="2"/>
        <v>0.41299559471365638</v>
      </c>
      <c r="J8" s="363"/>
      <c r="K8" s="418">
        <f>'13'!I8:I23</f>
        <v>0</v>
      </c>
      <c r="L8" s="538">
        <f t="shared" si="3"/>
        <v>0</v>
      </c>
      <c r="M8" s="363"/>
      <c r="N8" s="348">
        <f>'14'!F8:F23</f>
        <v>0</v>
      </c>
      <c r="O8" s="491">
        <f t="shared" si="4"/>
        <v>0</v>
      </c>
      <c r="P8" s="408"/>
      <c r="Q8" s="408">
        <f>'16'!S8:S23</f>
        <v>0</v>
      </c>
      <c r="R8" s="541">
        <f t="shared" si="5"/>
        <v>0</v>
      </c>
      <c r="S8" s="408"/>
      <c r="T8" s="414">
        <f>B8+E8+H8+K8+N8</f>
        <v>52292</v>
      </c>
      <c r="U8" s="539">
        <f t="shared" si="7"/>
        <v>0.37911071813540048</v>
      </c>
      <c r="W8" s="350">
        <v>0</v>
      </c>
      <c r="X8" s="532"/>
      <c r="Y8" s="456"/>
      <c r="Z8" s="415">
        <v>0</v>
      </c>
      <c r="AA8" s="537"/>
      <c r="AB8" s="350"/>
      <c r="AC8" s="418">
        <v>0</v>
      </c>
      <c r="AD8" s="538"/>
      <c r="AE8" s="363"/>
      <c r="AF8" s="418">
        <v>0</v>
      </c>
      <c r="AG8" s="538"/>
      <c r="AH8" s="363"/>
      <c r="AI8" s="348">
        <v>0</v>
      </c>
      <c r="AK8" s="742">
        <f t="shared" si="8"/>
        <v>0</v>
      </c>
    </row>
    <row r="9" spans="1:37" ht="21" customHeight="1">
      <c r="A9" s="407" t="s">
        <v>117</v>
      </c>
      <c r="B9" s="350">
        <f>'10'!F9:F24</f>
        <v>3888000</v>
      </c>
      <c r="C9" s="532">
        <f t="shared" si="0"/>
        <v>42.247171379106099</v>
      </c>
      <c r="D9" s="456"/>
      <c r="E9" s="415">
        <f>'11'!F9:F24</f>
        <v>199612</v>
      </c>
      <c r="F9" s="537">
        <f t="shared" si="1"/>
        <v>4.4406674838546056</v>
      </c>
      <c r="G9" s="350"/>
      <c r="H9" s="418">
        <f>'12'!F9:F24</f>
        <v>0</v>
      </c>
      <c r="I9" s="538">
        <f t="shared" si="2"/>
        <v>0</v>
      </c>
      <c r="J9" s="348"/>
      <c r="K9" s="418">
        <f>'13'!I9:I24</f>
        <v>0</v>
      </c>
      <c r="L9" s="538">
        <f t="shared" si="3"/>
        <v>0</v>
      </c>
      <c r="M9" s="348"/>
      <c r="N9" s="348">
        <f>'14'!F9:F24</f>
        <v>0</v>
      </c>
      <c r="O9" s="491">
        <f t="shared" si="4"/>
        <v>0</v>
      </c>
      <c r="P9" s="408"/>
      <c r="Q9" s="408">
        <f>'16'!S9:S24</f>
        <v>0</v>
      </c>
      <c r="R9" s="541">
        <f t="shared" si="5"/>
        <v>0</v>
      </c>
      <c r="S9" s="408"/>
      <c r="T9" s="414">
        <f t="shared" si="6"/>
        <v>4087612</v>
      </c>
      <c r="U9" s="539">
        <f t="shared" si="7"/>
        <v>29.634695953088059</v>
      </c>
      <c r="W9" s="350">
        <v>3888000</v>
      </c>
      <c r="X9" s="532"/>
      <c r="Y9" s="456"/>
      <c r="Z9" s="415">
        <v>199612</v>
      </c>
      <c r="AA9" s="537"/>
      <c r="AB9" s="350"/>
      <c r="AC9" s="418">
        <v>0</v>
      </c>
      <c r="AD9" s="538"/>
      <c r="AE9" s="348"/>
      <c r="AF9" s="418">
        <v>0</v>
      </c>
      <c r="AG9" s="538"/>
      <c r="AH9" s="348"/>
      <c r="AI9" s="348">
        <v>0</v>
      </c>
      <c r="AK9" s="742">
        <f t="shared" si="8"/>
        <v>4087612</v>
      </c>
    </row>
    <row r="10" spans="1:37" ht="21" customHeight="1">
      <c r="A10" s="407" t="s">
        <v>108</v>
      </c>
      <c r="B10" s="350">
        <f>'10'!F10:F25</f>
        <v>524000</v>
      </c>
      <c r="C10" s="532">
        <f t="shared" si="0"/>
        <v>5.6938060192005135</v>
      </c>
      <c r="E10" s="415">
        <f>'11'!F10:F25</f>
        <v>282894</v>
      </c>
      <c r="F10" s="537">
        <f t="shared" si="1"/>
        <v>6.2934001321441837</v>
      </c>
      <c r="H10" s="418">
        <f>'12'!F10:F25</f>
        <v>0</v>
      </c>
      <c r="I10" s="538">
        <f t="shared" si="2"/>
        <v>0</v>
      </c>
      <c r="K10" s="418">
        <f>'13'!I10:I25</f>
        <v>0</v>
      </c>
      <c r="L10" s="538">
        <f t="shared" si="3"/>
        <v>0</v>
      </c>
      <c r="M10" s="348"/>
      <c r="N10" s="348">
        <f>'14'!F10:F25</f>
        <v>174</v>
      </c>
      <c r="O10" s="491">
        <f t="shared" si="4"/>
        <v>5.4494206075790794</v>
      </c>
      <c r="Q10" s="408">
        <f>'16'!S10:S25</f>
        <v>0</v>
      </c>
      <c r="R10" s="541">
        <f t="shared" si="5"/>
        <v>0</v>
      </c>
      <c r="T10" s="414">
        <f t="shared" si="6"/>
        <v>807068</v>
      </c>
      <c r="U10" s="539">
        <f t="shared" si="7"/>
        <v>5.8511460465100091</v>
      </c>
      <c r="W10" s="350">
        <v>524000</v>
      </c>
      <c r="X10" s="532"/>
      <c r="Z10" s="415">
        <v>282894</v>
      </c>
      <c r="AA10" s="537"/>
      <c r="AC10" s="418">
        <v>0</v>
      </c>
      <c r="AD10" s="538"/>
      <c r="AF10" s="418">
        <v>0</v>
      </c>
      <c r="AG10" s="538"/>
      <c r="AH10" s="348"/>
      <c r="AI10" s="348">
        <v>174</v>
      </c>
      <c r="AK10" s="742">
        <f t="shared" si="8"/>
        <v>807068</v>
      </c>
    </row>
    <row r="11" spans="1:37" ht="21" customHeight="1">
      <c r="A11" s="407" t="s">
        <v>110</v>
      </c>
      <c r="B11" s="350">
        <f>'10'!F11:F26</f>
        <v>263976</v>
      </c>
      <c r="C11" s="532">
        <f t="shared" si="0"/>
        <v>2.8683743086344937</v>
      </c>
      <c r="D11" s="456"/>
      <c r="E11" s="415">
        <f>'11'!F11:F26</f>
        <v>385835</v>
      </c>
      <c r="F11" s="537">
        <f t="shared" si="1"/>
        <v>8.5834766378426242</v>
      </c>
      <c r="G11" s="350"/>
      <c r="H11" s="418">
        <f>'12'!F11:F26</f>
        <v>153</v>
      </c>
      <c r="I11" s="538">
        <f t="shared" si="2"/>
        <v>0.84251101321585908</v>
      </c>
      <c r="J11" s="348"/>
      <c r="K11" s="418">
        <f>'13'!I11:I26</f>
        <v>0</v>
      </c>
      <c r="L11" s="538">
        <f t="shared" si="3"/>
        <v>0</v>
      </c>
      <c r="M11" s="348"/>
      <c r="N11" s="348">
        <f>'14'!F11:F26</f>
        <v>1417</v>
      </c>
      <c r="O11" s="491">
        <f t="shared" si="4"/>
        <v>44.378327591606642</v>
      </c>
      <c r="P11" s="408"/>
      <c r="Q11" s="408">
        <f>'16'!S11:S26</f>
        <v>0</v>
      </c>
      <c r="R11" s="541">
        <f t="shared" si="5"/>
        <v>0</v>
      </c>
      <c r="S11" s="408"/>
      <c r="T11" s="414">
        <f t="shared" si="6"/>
        <v>651381</v>
      </c>
      <c r="U11" s="539">
        <f t="shared" si="7"/>
        <v>4.7224339992686319</v>
      </c>
      <c r="W11" s="350">
        <v>263976</v>
      </c>
      <c r="X11" s="532"/>
      <c r="Y11" s="456"/>
      <c r="Z11" s="415">
        <v>385835</v>
      </c>
      <c r="AA11" s="537"/>
      <c r="AB11" s="350"/>
      <c r="AC11" s="418">
        <v>153</v>
      </c>
      <c r="AD11" s="538"/>
      <c r="AE11" s="348"/>
      <c r="AF11" s="418">
        <v>0</v>
      </c>
      <c r="AG11" s="538"/>
      <c r="AH11" s="348"/>
      <c r="AI11" s="348">
        <v>1417</v>
      </c>
      <c r="AK11" s="742">
        <f t="shared" si="8"/>
        <v>651381</v>
      </c>
    </row>
    <row r="12" spans="1:37" ht="21" customHeight="1">
      <c r="A12" s="407" t="s">
        <v>102</v>
      </c>
      <c r="B12" s="350">
        <f>'10'!F12:F27</f>
        <v>478720</v>
      </c>
      <c r="C12" s="532">
        <f t="shared" si="0"/>
        <v>5.2017916364726524</v>
      </c>
      <c r="D12" s="456"/>
      <c r="E12" s="415">
        <f>'11'!F12:F27</f>
        <v>92044</v>
      </c>
      <c r="F12" s="537">
        <f t="shared" si="1"/>
        <v>2.0476564429188291</v>
      </c>
      <c r="G12" s="350"/>
      <c r="H12" s="418">
        <f>'12'!F12:F27</f>
        <v>310</v>
      </c>
      <c r="I12" s="538">
        <f t="shared" si="2"/>
        <v>1.7070484581497798</v>
      </c>
      <c r="J12" s="348"/>
      <c r="K12" s="418">
        <f>'13'!I12:I27</f>
        <v>0</v>
      </c>
      <c r="L12" s="538">
        <f t="shared" si="3"/>
        <v>0</v>
      </c>
      <c r="M12" s="348"/>
      <c r="N12" s="348">
        <f>'14'!F12:F27</f>
        <v>0</v>
      </c>
      <c r="O12" s="491">
        <f t="shared" si="4"/>
        <v>0</v>
      </c>
      <c r="P12" s="408"/>
      <c r="Q12" s="408">
        <f>'16'!S12:S27</f>
        <v>105</v>
      </c>
      <c r="R12" s="541">
        <f t="shared" si="5"/>
        <v>0.49502616566875679</v>
      </c>
      <c r="S12" s="408"/>
      <c r="T12" s="414">
        <f t="shared" si="6"/>
        <v>570969</v>
      </c>
      <c r="U12" s="539">
        <f t="shared" si="7"/>
        <v>4.139456659203157</v>
      </c>
      <c r="W12" s="350">
        <v>478720</v>
      </c>
      <c r="X12" s="532"/>
      <c r="Y12" s="456"/>
      <c r="Z12" s="415">
        <v>92044</v>
      </c>
      <c r="AA12" s="537"/>
      <c r="AB12" s="350"/>
      <c r="AC12" s="418">
        <v>310</v>
      </c>
      <c r="AD12" s="538"/>
      <c r="AE12" s="348"/>
      <c r="AF12" s="418">
        <v>0</v>
      </c>
      <c r="AG12" s="538"/>
      <c r="AH12" s="348"/>
      <c r="AI12" s="348">
        <v>0</v>
      </c>
      <c r="AK12" s="742">
        <f t="shared" si="8"/>
        <v>571074</v>
      </c>
    </row>
    <row r="13" spans="1:37" ht="21" customHeight="1">
      <c r="A13" s="407" t="s">
        <v>109</v>
      </c>
      <c r="B13" s="350">
        <f>'10'!F13:F28</f>
        <v>339900</v>
      </c>
      <c r="C13" s="532">
        <f t="shared" si="0"/>
        <v>3.6933676830653712</v>
      </c>
      <c r="D13" s="456"/>
      <c r="E13" s="415">
        <f>'11'!F13:F28</f>
        <v>334529</v>
      </c>
      <c r="F13" s="537">
        <f t="shared" si="1"/>
        <v>7.442097933523022</v>
      </c>
      <c r="G13" s="350"/>
      <c r="H13" s="418">
        <f>'12'!F13:F28</f>
        <v>403</v>
      </c>
      <c r="I13" s="538">
        <f t="shared" si="2"/>
        <v>2.2191629955947136</v>
      </c>
      <c r="J13" s="348"/>
      <c r="K13" s="418">
        <f>'13'!I13:I28</f>
        <v>0</v>
      </c>
      <c r="L13" s="538">
        <f t="shared" si="3"/>
        <v>0</v>
      </c>
      <c r="M13" s="348"/>
      <c r="N13" s="348">
        <f>'14'!F13:F28</f>
        <v>222</v>
      </c>
      <c r="O13" s="491">
        <f t="shared" si="4"/>
        <v>6.9527090510491707</v>
      </c>
      <c r="P13" s="408"/>
      <c r="Q13" s="408">
        <f>'16'!S13:S28</f>
        <v>200</v>
      </c>
      <c r="R13" s="541">
        <f t="shared" si="5"/>
        <v>0.9429069822262035</v>
      </c>
      <c r="S13" s="408"/>
      <c r="T13" s="414">
        <f t="shared" si="6"/>
        <v>674854</v>
      </c>
      <c r="U13" s="539">
        <f t="shared" si="7"/>
        <v>4.8926104294451846</v>
      </c>
      <c r="W13" s="350">
        <v>339900</v>
      </c>
      <c r="X13" s="532"/>
      <c r="Y13" s="456"/>
      <c r="Z13" s="415">
        <v>334529</v>
      </c>
      <c r="AA13" s="537"/>
      <c r="AB13" s="350"/>
      <c r="AC13" s="418">
        <v>403</v>
      </c>
      <c r="AD13" s="538"/>
      <c r="AE13" s="348"/>
      <c r="AF13" s="418">
        <v>0</v>
      </c>
      <c r="AG13" s="538"/>
      <c r="AH13" s="348"/>
      <c r="AI13" s="348">
        <v>222</v>
      </c>
      <c r="AK13" s="742">
        <f t="shared" si="8"/>
        <v>675054</v>
      </c>
    </row>
    <row r="14" spans="1:37" ht="21" customHeight="1">
      <c r="A14" s="410" t="s">
        <v>107</v>
      </c>
      <c r="B14" s="350">
        <f>'10'!F14:F29</f>
        <v>239720</v>
      </c>
      <c r="C14" s="532">
        <f t="shared" si="0"/>
        <v>2.6048075933640211</v>
      </c>
      <c r="D14" s="457"/>
      <c r="E14" s="415">
        <f>'11'!F14:F29</f>
        <v>257820</v>
      </c>
      <c r="F14" s="537">
        <f t="shared" si="1"/>
        <v>5.7355915009488134</v>
      </c>
      <c r="G14" s="361"/>
      <c r="H14" s="418">
        <f>'12'!F14:F29</f>
        <v>80</v>
      </c>
      <c r="I14" s="538">
        <f t="shared" si="2"/>
        <v>0.44052863436123352</v>
      </c>
      <c r="J14" s="348"/>
      <c r="K14" s="415">
        <f>'13'!I14:I29</f>
        <v>3000</v>
      </c>
      <c r="L14" s="538">
        <f t="shared" si="3"/>
        <v>3.1540103241271273</v>
      </c>
      <c r="M14" s="348"/>
      <c r="N14" s="348">
        <f>'14'!F14:F29</f>
        <v>102</v>
      </c>
      <c r="O14" s="491">
        <f t="shared" si="4"/>
        <v>3.194487942373943</v>
      </c>
      <c r="P14" s="409"/>
      <c r="Q14" s="408">
        <f>'16'!S14:S29</f>
        <v>0</v>
      </c>
      <c r="R14" s="541">
        <f t="shared" si="5"/>
        <v>0</v>
      </c>
      <c r="S14" s="409"/>
      <c r="T14" s="414">
        <f t="shared" si="6"/>
        <v>500722</v>
      </c>
      <c r="U14" s="539">
        <f t="shared" si="7"/>
        <v>3.6301743480110531</v>
      </c>
      <c r="W14" s="350">
        <v>239720</v>
      </c>
      <c r="X14" s="532"/>
      <c r="Y14" s="457"/>
      <c r="Z14" s="415">
        <v>257820</v>
      </c>
      <c r="AA14" s="537"/>
      <c r="AB14" s="361"/>
      <c r="AC14" s="418">
        <v>80</v>
      </c>
      <c r="AD14" s="538"/>
      <c r="AE14" s="348"/>
      <c r="AF14" s="418">
        <v>3000</v>
      </c>
      <c r="AG14" s="538"/>
      <c r="AH14" s="348"/>
      <c r="AI14" s="348">
        <v>102</v>
      </c>
      <c r="AK14" s="742">
        <f t="shared" si="8"/>
        <v>500722</v>
      </c>
    </row>
    <row r="15" spans="1:37" ht="21" customHeight="1">
      <c r="A15" s="410" t="s">
        <v>111</v>
      </c>
      <c r="B15" s="350">
        <f>'10'!F15:F30</f>
        <v>437000</v>
      </c>
      <c r="C15" s="532">
        <f t="shared" si="0"/>
        <v>4.7484603633408859</v>
      </c>
      <c r="D15" s="457"/>
      <c r="E15" s="415">
        <f>'11'!F15:F30</f>
        <v>327000</v>
      </c>
      <c r="F15" s="537">
        <f t="shared" si="1"/>
        <v>7.274604067994189</v>
      </c>
      <c r="G15" s="361"/>
      <c r="H15" s="415">
        <f>'12'!F15:F30</f>
        <v>1400</v>
      </c>
      <c r="I15" s="538">
        <f t="shared" si="2"/>
        <v>7.7092511013215859</v>
      </c>
      <c r="J15" s="348"/>
      <c r="K15" s="415">
        <f>'13'!I15:I30</f>
        <v>700</v>
      </c>
      <c r="L15" s="538">
        <f t="shared" si="3"/>
        <v>0.73593574229632974</v>
      </c>
      <c r="M15" s="348"/>
      <c r="N15" s="348">
        <f>'14'!F15:F30</f>
        <v>10</v>
      </c>
      <c r="O15" s="491">
        <f t="shared" si="4"/>
        <v>0.31318509238960224</v>
      </c>
      <c r="P15" s="409"/>
      <c r="Q15" s="408">
        <f>'16'!S15:S30</f>
        <v>0</v>
      </c>
      <c r="R15" s="541">
        <f t="shared" si="5"/>
        <v>0</v>
      </c>
      <c r="S15" s="409"/>
      <c r="T15" s="414">
        <f t="shared" si="6"/>
        <v>766110</v>
      </c>
      <c r="U15" s="539">
        <f t="shared" si="7"/>
        <v>5.5542054668154153</v>
      </c>
      <c r="W15" s="350">
        <v>437000</v>
      </c>
      <c r="X15" s="532"/>
      <c r="Y15" s="457"/>
      <c r="Z15" s="415">
        <v>327000</v>
      </c>
      <c r="AA15" s="537"/>
      <c r="AB15" s="361"/>
      <c r="AC15" s="418">
        <v>1400</v>
      </c>
      <c r="AD15" s="538"/>
      <c r="AE15" s="348"/>
      <c r="AF15" s="418">
        <v>700</v>
      </c>
      <c r="AG15" s="538"/>
      <c r="AH15" s="348"/>
      <c r="AI15" s="348">
        <v>10</v>
      </c>
      <c r="AK15" s="742">
        <f t="shared" si="8"/>
        <v>766110</v>
      </c>
    </row>
    <row r="16" spans="1:37" ht="21" customHeight="1">
      <c r="A16" s="410" t="s">
        <v>112</v>
      </c>
      <c r="B16" s="350">
        <f>'10'!F16:F31</f>
        <v>298000</v>
      </c>
      <c r="C16" s="532">
        <f t="shared" si="0"/>
        <v>3.2380805223697582</v>
      </c>
      <c r="D16" s="457"/>
      <c r="E16" s="415">
        <f>'11'!F16:F31</f>
        <v>141089</v>
      </c>
      <c r="F16" s="537">
        <f t="shared" si="1"/>
        <v>3.1387358206398535</v>
      </c>
      <c r="G16" s="361"/>
      <c r="H16" s="415">
        <f>'12'!F16:F31</f>
        <v>120</v>
      </c>
      <c r="I16" s="538">
        <f t="shared" si="2"/>
        <v>0.66079295154185025</v>
      </c>
      <c r="J16" s="348"/>
      <c r="K16" s="415">
        <f>'13'!I16:I31</f>
        <v>100</v>
      </c>
      <c r="L16" s="538">
        <f t="shared" si="3"/>
        <v>0.10513367747090425</v>
      </c>
      <c r="M16" s="348"/>
      <c r="N16" s="348">
        <f>'14'!F16:F31</f>
        <v>500</v>
      </c>
      <c r="O16" s="491">
        <f t="shared" si="4"/>
        <v>15.659254619480112</v>
      </c>
      <c r="P16" s="409"/>
      <c r="Q16" s="408">
        <f>'16'!S16:S31</f>
        <v>0</v>
      </c>
      <c r="R16" s="541">
        <f t="shared" si="5"/>
        <v>0</v>
      </c>
      <c r="S16" s="409"/>
      <c r="T16" s="414">
        <f t="shared" si="6"/>
        <v>439809</v>
      </c>
      <c r="U16" s="539">
        <f t="shared" si="7"/>
        <v>3.1885624155207752</v>
      </c>
      <c r="W16" s="350">
        <v>298000</v>
      </c>
      <c r="X16" s="532"/>
      <c r="Y16" s="457"/>
      <c r="Z16" s="415">
        <v>141089</v>
      </c>
      <c r="AA16" s="537"/>
      <c r="AB16" s="361"/>
      <c r="AC16" s="418">
        <v>120</v>
      </c>
      <c r="AD16" s="538"/>
      <c r="AE16" s="348"/>
      <c r="AF16" s="418">
        <v>100</v>
      </c>
      <c r="AG16" s="538"/>
      <c r="AH16" s="348"/>
      <c r="AI16" s="348">
        <v>500</v>
      </c>
      <c r="AK16" s="742">
        <f t="shared" si="8"/>
        <v>439809</v>
      </c>
    </row>
    <row r="17" spans="1:37" ht="21" customHeight="1">
      <c r="A17" s="410" t="s">
        <v>113</v>
      </c>
      <c r="B17" s="350">
        <f>'10'!F17:F32</f>
        <v>144200</v>
      </c>
      <c r="C17" s="532">
        <f t="shared" si="0"/>
        <v>1.5668832594822788</v>
      </c>
      <c r="D17" s="457"/>
      <c r="E17" s="415">
        <f>'11'!F17:F32</f>
        <v>93310</v>
      </c>
      <c r="F17" s="537">
        <f t="shared" si="1"/>
        <v>2.075820506374733</v>
      </c>
      <c r="G17" s="361"/>
      <c r="H17" s="415">
        <f>'12'!F17:F32</f>
        <v>1430</v>
      </c>
      <c r="I17" s="538">
        <f t="shared" si="2"/>
        <v>7.8744493392070485</v>
      </c>
      <c r="J17" s="348"/>
      <c r="K17" s="415">
        <f>'13'!I17:I32</f>
        <v>1300</v>
      </c>
      <c r="L17" s="538">
        <f t="shared" si="3"/>
        <v>1.3667378071217553</v>
      </c>
      <c r="M17" s="348"/>
      <c r="N17" s="348">
        <f>'14'!F17:F32</f>
        <v>0</v>
      </c>
      <c r="O17" s="491">
        <f t="shared" si="4"/>
        <v>0</v>
      </c>
      <c r="P17" s="409"/>
      <c r="Q17" s="408">
        <f>'16'!S17:S32</f>
        <v>1600</v>
      </c>
      <c r="R17" s="541">
        <f t="shared" si="5"/>
        <v>7.543255857809628</v>
      </c>
      <c r="S17" s="409"/>
      <c r="T17" s="414">
        <f t="shared" si="6"/>
        <v>238640</v>
      </c>
      <c r="U17" s="539">
        <f t="shared" si="7"/>
        <v>1.7301113320552279</v>
      </c>
      <c r="W17" s="350">
        <v>144200</v>
      </c>
      <c r="X17" s="532"/>
      <c r="Y17" s="457"/>
      <c r="Z17" s="415">
        <v>93310</v>
      </c>
      <c r="AA17" s="537"/>
      <c r="AB17" s="361"/>
      <c r="AC17" s="418">
        <v>1430</v>
      </c>
      <c r="AD17" s="538"/>
      <c r="AE17" s="348"/>
      <c r="AF17" s="418">
        <v>1300</v>
      </c>
      <c r="AG17" s="538"/>
      <c r="AH17" s="348"/>
      <c r="AI17" s="348">
        <v>0</v>
      </c>
      <c r="AK17" s="742">
        <f t="shared" si="8"/>
        <v>240240</v>
      </c>
    </row>
    <row r="18" spans="1:37" ht="21" customHeight="1">
      <c r="A18" s="410" t="s">
        <v>114</v>
      </c>
      <c r="B18" s="350">
        <f>'10'!F18:F33</f>
        <v>282100</v>
      </c>
      <c r="C18" s="532">
        <f t="shared" si="0"/>
        <v>3.0653104542298948</v>
      </c>
      <c r="D18" s="457"/>
      <c r="E18" s="415">
        <f>'11'!F18:F33</f>
        <v>337808</v>
      </c>
      <c r="F18" s="537">
        <f t="shared" si="1"/>
        <v>7.5150441926635505</v>
      </c>
      <c r="G18" s="361"/>
      <c r="H18" s="415">
        <f>'12'!F18:F33</f>
        <v>2022</v>
      </c>
      <c r="I18" s="538">
        <f t="shared" si="2"/>
        <v>11.134361233480176</v>
      </c>
      <c r="J18" s="348"/>
      <c r="K18" s="418">
        <f>'13'!I18:I33</f>
        <v>0</v>
      </c>
      <c r="L18" s="538">
        <f t="shared" si="3"/>
        <v>0</v>
      </c>
      <c r="M18" s="348"/>
      <c r="N18" s="348">
        <f>'14'!F18:F33</f>
        <v>108</v>
      </c>
      <c r="O18" s="491">
        <f t="shared" si="4"/>
        <v>3.3823989978077043</v>
      </c>
      <c r="P18" s="409"/>
      <c r="Q18" s="408">
        <f>'16'!S18:S33</f>
        <v>2022</v>
      </c>
      <c r="R18" s="541">
        <f t="shared" si="5"/>
        <v>9.5327895903069155</v>
      </c>
      <c r="S18" s="409"/>
      <c r="T18" s="414">
        <f t="shared" si="6"/>
        <v>620016</v>
      </c>
      <c r="U18" s="539">
        <f t="shared" si="7"/>
        <v>4.4950415171620604</v>
      </c>
      <c r="W18" s="350">
        <v>282100</v>
      </c>
      <c r="X18" s="532"/>
      <c r="Y18" s="457"/>
      <c r="Z18" s="415">
        <v>337808</v>
      </c>
      <c r="AA18" s="537"/>
      <c r="AB18" s="361"/>
      <c r="AC18" s="418">
        <v>2022</v>
      </c>
      <c r="AD18" s="538"/>
      <c r="AE18" s="348"/>
      <c r="AF18" s="418">
        <v>0</v>
      </c>
      <c r="AG18" s="538"/>
      <c r="AH18" s="348"/>
      <c r="AI18" s="348">
        <v>108</v>
      </c>
      <c r="AK18" s="742">
        <f t="shared" si="8"/>
        <v>622038</v>
      </c>
    </row>
    <row r="19" spans="1:37" ht="21" customHeight="1">
      <c r="A19" s="410" t="s">
        <v>115</v>
      </c>
      <c r="B19" s="350">
        <f>'10'!F19:F34</f>
        <v>117920</v>
      </c>
      <c r="C19" s="532">
        <f t="shared" si="0"/>
        <v>1.281323675160543</v>
      </c>
      <c r="D19" s="457"/>
      <c r="E19" s="415">
        <f>'11'!F19:F34</f>
        <v>312960</v>
      </c>
      <c r="F19" s="537">
        <f t="shared" si="1"/>
        <v>6.9622632694784752</v>
      </c>
      <c r="G19" s="361"/>
      <c r="H19" s="415">
        <f>'12'!F19:F34</f>
        <v>5900</v>
      </c>
      <c r="I19" s="538">
        <f t="shared" si="2"/>
        <v>32.48898678414097</v>
      </c>
      <c r="J19" s="348"/>
      <c r="K19" s="418">
        <f>'13'!I19:I34</f>
        <v>0</v>
      </c>
      <c r="L19" s="538">
        <f t="shared" si="3"/>
        <v>0</v>
      </c>
      <c r="M19" s="348"/>
      <c r="N19" s="348">
        <f>'14'!F19:F34</f>
        <v>0</v>
      </c>
      <c r="O19" s="491">
        <f t="shared" si="4"/>
        <v>0</v>
      </c>
      <c r="P19" s="409"/>
      <c r="Q19" s="408">
        <f>'16'!S19:S34</f>
        <v>6750</v>
      </c>
      <c r="R19" s="541">
        <f t="shared" si="5"/>
        <v>31.82311065013436</v>
      </c>
      <c r="S19" s="409"/>
      <c r="T19" s="414">
        <f t="shared" si="6"/>
        <v>430030</v>
      </c>
      <c r="U19" s="539">
        <f t="shared" si="7"/>
        <v>3.1176658402770263</v>
      </c>
      <c r="W19" s="350">
        <v>117920</v>
      </c>
      <c r="X19" s="532"/>
      <c r="Y19" s="457"/>
      <c r="Z19" s="415">
        <v>312960</v>
      </c>
      <c r="AA19" s="537"/>
      <c r="AB19" s="361"/>
      <c r="AC19" s="418">
        <v>5900</v>
      </c>
      <c r="AD19" s="538"/>
      <c r="AE19" s="348"/>
      <c r="AF19" s="418">
        <v>0</v>
      </c>
      <c r="AG19" s="538"/>
      <c r="AH19" s="348"/>
      <c r="AI19" s="348">
        <v>0</v>
      </c>
      <c r="AK19" s="742">
        <f t="shared" si="8"/>
        <v>436780</v>
      </c>
    </row>
    <row r="20" spans="1:37" ht="21" customHeight="1" thickBot="1">
      <c r="A20" s="410" t="s">
        <v>116</v>
      </c>
      <c r="B20" s="350">
        <f>'10'!F20:F35</f>
        <v>239437</v>
      </c>
      <c r="C20" s="560">
        <f t="shared" si="0"/>
        <v>2.6017325034719723</v>
      </c>
      <c r="D20" s="561"/>
      <c r="E20" s="415">
        <f>'11'!F20:F35</f>
        <v>1302656</v>
      </c>
      <c r="F20" s="537">
        <f t="shared" si="1"/>
        <v>28.979530999379321</v>
      </c>
      <c r="G20" s="357"/>
      <c r="H20" s="415">
        <f>'12'!F20:F35</f>
        <v>5267</v>
      </c>
      <c r="I20" s="538">
        <f t="shared" si="2"/>
        <v>29.003303964757709</v>
      </c>
      <c r="J20" s="562"/>
      <c r="K20" s="418">
        <f>'13'!I20:I35</f>
        <v>0</v>
      </c>
      <c r="L20" s="538">
        <f t="shared" si="3"/>
        <v>0</v>
      </c>
      <c r="M20" s="562"/>
      <c r="N20" s="348">
        <f>'14'!F20:F35</f>
        <v>0</v>
      </c>
      <c r="O20" s="491">
        <f t="shared" si="4"/>
        <v>0</v>
      </c>
      <c r="P20" s="563"/>
      <c r="Q20" s="408">
        <f>'16'!S20:S35</f>
        <v>10534</v>
      </c>
      <c r="R20" s="541">
        <f t="shared" si="5"/>
        <v>49.662910753854135</v>
      </c>
      <c r="S20" s="563"/>
      <c r="T20" s="414">
        <f t="shared" si="6"/>
        <v>1536826</v>
      </c>
      <c r="U20" s="539">
        <f t="shared" si="7"/>
        <v>11.141803880309704</v>
      </c>
      <c r="W20" s="350">
        <v>239437</v>
      </c>
      <c r="X20" s="560"/>
      <c r="Y20" s="561"/>
      <c r="Z20" s="415">
        <v>1302656</v>
      </c>
      <c r="AA20" s="537"/>
      <c r="AB20" s="357"/>
      <c r="AC20" s="418">
        <v>5267</v>
      </c>
      <c r="AD20" s="538"/>
      <c r="AE20" s="562"/>
      <c r="AF20" s="418">
        <v>0</v>
      </c>
      <c r="AG20" s="538"/>
      <c r="AH20" s="562"/>
      <c r="AI20" s="348">
        <v>0</v>
      </c>
      <c r="AK20" s="742">
        <f t="shared" si="8"/>
        <v>1547360</v>
      </c>
    </row>
    <row r="21" spans="1:37" ht="21" customHeight="1" thickTop="1" thickBot="1">
      <c r="A21" s="374" t="s">
        <v>410</v>
      </c>
      <c r="B21" s="377">
        <f>SUM(B5:B20)</f>
        <v>9202983</v>
      </c>
      <c r="C21" s="536">
        <f t="shared" si="0"/>
        <v>100</v>
      </c>
      <c r="D21" s="458"/>
      <c r="E21" s="416">
        <f>SUM(E5:E20)</f>
        <v>4495090</v>
      </c>
      <c r="F21" s="536">
        <f t="shared" si="1"/>
        <v>100</v>
      </c>
      <c r="G21" s="377"/>
      <c r="H21" s="416">
        <f>SUM(H5:H20)</f>
        <v>18160</v>
      </c>
      <c r="I21" s="536">
        <f t="shared" si="2"/>
        <v>100</v>
      </c>
      <c r="J21" s="377"/>
      <c r="K21" s="416">
        <f>SUM(K5:K20)</f>
        <v>95117</v>
      </c>
      <c r="L21" s="536">
        <f t="shared" si="3"/>
        <v>100</v>
      </c>
      <c r="M21" s="377"/>
      <c r="N21" s="377">
        <f>SUM(N5:N20)</f>
        <v>3193</v>
      </c>
      <c r="O21" s="536">
        <f t="shared" si="4"/>
        <v>100</v>
      </c>
      <c r="P21" s="411"/>
      <c r="Q21" s="411">
        <f>SUM(Q5:Q20)</f>
        <v>21211</v>
      </c>
      <c r="R21" s="536">
        <f t="shared" si="5"/>
        <v>100</v>
      </c>
      <c r="S21" s="536"/>
      <c r="T21" s="416">
        <f>SUM(T5:T20)</f>
        <v>13793332</v>
      </c>
      <c r="U21" s="536">
        <f t="shared" si="7"/>
        <v>100</v>
      </c>
    </row>
    <row r="22" spans="1:37" ht="30" customHeight="1" thickTop="1">
      <c r="A22" s="1046" t="s">
        <v>648</v>
      </c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</row>
    <row r="23" spans="1:37" s="345" customFormat="1" ht="16.5" customHeight="1">
      <c r="A23" s="1047"/>
      <c r="B23" s="1047"/>
      <c r="C23" s="1047"/>
      <c r="D23" s="1047"/>
      <c r="E23" s="1047"/>
      <c r="F23" s="635"/>
      <c r="G23" s="635"/>
      <c r="H23"/>
      <c r="I23"/>
      <c r="J23"/>
      <c r="K23"/>
      <c r="L23"/>
      <c r="M23"/>
      <c r="N23" s="364"/>
      <c r="O23" s="352"/>
      <c r="P23" s="351"/>
      <c r="Q23" s="351"/>
    </row>
    <row r="24" spans="1:37" s="345" customFormat="1" ht="16.5" customHeight="1">
      <c r="A24" s="956" t="s">
        <v>431</v>
      </c>
      <c r="B24" s="956"/>
      <c r="C24" s="956"/>
      <c r="D24" s="956"/>
      <c r="E24" s="956"/>
      <c r="F24" s="956"/>
      <c r="G24" s="956"/>
      <c r="H24" s="956"/>
      <c r="I24" s="956"/>
      <c r="J24" s="956"/>
      <c r="K24" s="956"/>
      <c r="L24" s="956"/>
      <c r="M24" s="956"/>
      <c r="N24" s="956"/>
      <c r="O24" s="956"/>
      <c r="P24" s="956"/>
      <c r="Q24" s="956"/>
      <c r="R24" s="351"/>
    </row>
    <row r="25" spans="1:37" s="345" customFormat="1" ht="16.5" customHeight="1" thickBot="1">
      <c r="A25" s="961" t="s">
        <v>432</v>
      </c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351"/>
    </row>
    <row r="26" spans="1:37" ht="16.5" customHeight="1">
      <c r="A26" s="1040" t="s">
        <v>336</v>
      </c>
      <c r="B26" s="1040"/>
      <c r="C26" s="1040"/>
      <c r="D26" s="1040"/>
      <c r="E26" s="1040"/>
      <c r="F26" s="472"/>
      <c r="G26" s="413"/>
      <c r="H26" s="413"/>
      <c r="I26" s="472"/>
      <c r="J26" s="1040"/>
      <c r="K26" s="1040"/>
      <c r="L26" s="1040"/>
      <c r="M26" s="1040"/>
      <c r="N26" s="1040"/>
      <c r="O26" s="1040"/>
      <c r="P26" s="1040"/>
      <c r="Q26" s="530"/>
      <c r="R26" s="530"/>
      <c r="S26" s="530"/>
      <c r="T26" s="468"/>
      <c r="U26" s="485">
        <v>40</v>
      </c>
    </row>
  </sheetData>
  <mergeCells count="15">
    <mergeCell ref="A3:A4"/>
    <mergeCell ref="A26:E26"/>
    <mergeCell ref="A1:T1"/>
    <mergeCell ref="J26:P26"/>
    <mergeCell ref="B3:C3"/>
    <mergeCell ref="E3:F3"/>
    <mergeCell ref="H3:I3"/>
    <mergeCell ref="N3:O3"/>
    <mergeCell ref="T3:U3"/>
    <mergeCell ref="Q3:R3"/>
    <mergeCell ref="A22:U22"/>
    <mergeCell ref="A24:Q24"/>
    <mergeCell ref="A25:Q25"/>
    <mergeCell ref="A23:E23"/>
    <mergeCell ref="K3:L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28"/>
  <sheetViews>
    <sheetView rightToLeft="1" view="pageBreakPreview" zoomScaleSheetLayoutView="100" workbookViewId="0">
      <selection activeCell="B28" sqref="B28"/>
    </sheetView>
  </sheetViews>
  <sheetFormatPr defaultColWidth="10.375" defaultRowHeight="14.25"/>
  <cols>
    <col min="1" max="1" width="12.375" style="345" customWidth="1"/>
    <col min="2" max="2" width="20" style="345" customWidth="1"/>
    <col min="3" max="3" width="16.875" style="345" customWidth="1"/>
    <col min="4" max="4" width="22.625" style="345" customWidth="1"/>
    <col min="5" max="5" width="21.125" style="345" customWidth="1"/>
    <col min="6" max="6" width="15.25" style="345" customWidth="1"/>
    <col min="7" max="7" width="17.375" style="345" customWidth="1"/>
    <col min="8" max="15" width="10.375" style="345"/>
    <col min="16" max="16" width="11.875" style="345" bestFit="1" customWidth="1"/>
    <col min="17" max="17" width="10.75" style="345" bestFit="1" customWidth="1"/>
    <col min="18" max="18" width="8.375" style="345" customWidth="1"/>
    <col min="19" max="19" width="12.125" style="345" customWidth="1"/>
    <col min="20" max="16384" width="10.375" style="345"/>
  </cols>
  <sheetData>
    <row r="1" spans="1:20" ht="24" customHeight="1">
      <c r="A1" s="1049" t="s">
        <v>473</v>
      </c>
      <c r="B1" s="1049"/>
      <c r="C1" s="1049"/>
      <c r="D1" s="1049"/>
      <c r="E1" s="1049"/>
      <c r="F1" s="1049"/>
      <c r="G1" s="1049"/>
      <c r="H1" s="1050"/>
      <c r="I1" s="1050"/>
      <c r="J1" s="1050"/>
      <c r="K1" s="1050"/>
      <c r="L1" s="1050"/>
      <c r="M1" s="1050"/>
      <c r="N1" s="1050"/>
      <c r="O1" s="1050"/>
      <c r="P1" s="351"/>
      <c r="Q1" s="351"/>
      <c r="R1" s="351"/>
      <c r="S1" s="351"/>
      <c r="T1" s="351"/>
    </row>
    <row r="2" spans="1:20" ht="24" customHeight="1" thickBot="1">
      <c r="A2" s="421" t="s">
        <v>365</v>
      </c>
      <c r="B2" s="422"/>
      <c r="C2" s="422"/>
      <c r="D2" s="422"/>
      <c r="E2" s="422"/>
      <c r="F2" s="422"/>
      <c r="G2" s="404" t="s">
        <v>350</v>
      </c>
      <c r="H2" s="1051"/>
      <c r="I2" s="1051"/>
      <c r="J2" s="1051"/>
      <c r="K2" s="1051"/>
      <c r="L2" s="1051"/>
      <c r="M2" s="1051"/>
      <c r="N2" s="1051"/>
      <c r="O2" s="1051"/>
      <c r="P2" s="351"/>
      <c r="Q2" s="351"/>
      <c r="R2" s="351"/>
      <c r="S2" s="351"/>
      <c r="T2" s="351"/>
    </row>
    <row r="3" spans="1:20" ht="51.75" customHeight="1" thickTop="1">
      <c r="A3" s="565" t="s">
        <v>103</v>
      </c>
      <c r="B3" s="565" t="s">
        <v>670</v>
      </c>
      <c r="C3" s="565" t="s">
        <v>671</v>
      </c>
      <c r="D3" s="565" t="s">
        <v>354</v>
      </c>
      <c r="E3" s="565" t="s">
        <v>353</v>
      </c>
      <c r="F3" s="565" t="s">
        <v>438</v>
      </c>
      <c r="G3" s="565" t="s">
        <v>439</v>
      </c>
      <c r="H3" s="464"/>
      <c r="I3" s="463"/>
      <c r="J3" s="463"/>
      <c r="K3" s="1048"/>
      <c r="L3" s="1048"/>
      <c r="M3" s="1048"/>
      <c r="N3" s="423"/>
      <c r="O3" s="463"/>
      <c r="P3" s="351"/>
      <c r="Q3" s="351"/>
      <c r="R3" s="351"/>
      <c r="S3" s="351"/>
      <c r="T3" s="351"/>
    </row>
    <row r="4" spans="1:20" s="437" customFormat="1" ht="21.75" customHeight="1">
      <c r="A4" s="736" t="s">
        <v>104</v>
      </c>
      <c r="B4" s="744">
        <f>'16'!Q5</f>
        <v>1421231</v>
      </c>
      <c r="C4" s="744">
        <f>'17'!T5</f>
        <v>1353552</v>
      </c>
      <c r="D4" s="745">
        <v>35</v>
      </c>
      <c r="E4" s="744">
        <f>C4*D4/100</f>
        <v>473743.2</v>
      </c>
      <c r="F4" s="744">
        <v>500</v>
      </c>
      <c r="G4" s="746">
        <f>C4-E4-F4</f>
        <v>879308.80000000005</v>
      </c>
      <c r="H4" s="464"/>
      <c r="I4" s="743"/>
      <c r="J4" s="743"/>
      <c r="K4" s="743"/>
      <c r="L4" s="743"/>
      <c r="M4" s="743"/>
      <c r="N4" s="743"/>
      <c r="O4" s="743"/>
      <c r="P4" s="747"/>
      <c r="Q4" s="747"/>
      <c r="R4" s="747"/>
      <c r="S4" s="747"/>
      <c r="T4" s="747"/>
    </row>
    <row r="5" spans="1:20" ht="21.75" customHeight="1">
      <c r="A5" s="336" t="s">
        <v>105</v>
      </c>
      <c r="B5" s="340">
        <v>422267</v>
      </c>
      <c r="C5" s="340">
        <v>411651</v>
      </c>
      <c r="D5" s="624">
        <v>16.399999999999999</v>
      </c>
      <c r="E5" s="340">
        <f>D5*C5/100</f>
        <v>67510.763999999996</v>
      </c>
      <c r="F5" s="340">
        <v>0</v>
      </c>
      <c r="G5" s="564">
        <f>C5-E5-F5</f>
        <v>344140.23600000003</v>
      </c>
      <c r="H5" s="424"/>
      <c r="I5" s="424"/>
      <c r="J5" s="424"/>
      <c r="K5" s="351"/>
      <c r="L5" s="351"/>
      <c r="M5" s="351"/>
      <c r="N5" s="351"/>
      <c r="O5" s="351"/>
      <c r="P5" s="351"/>
      <c r="Q5" s="351"/>
      <c r="R5" s="351"/>
      <c r="S5" s="351"/>
      <c r="T5" s="351"/>
    </row>
    <row r="6" spans="1:20" ht="21.75" customHeight="1">
      <c r="A6" s="346" t="s">
        <v>106</v>
      </c>
      <c r="B6" s="340">
        <v>715482</v>
      </c>
      <c r="C6" s="350">
        <v>651800</v>
      </c>
      <c r="D6" s="532">
        <v>3</v>
      </c>
      <c r="E6" s="340">
        <f t="shared" ref="E6:E19" si="0">D6*C6/100</f>
        <v>19554</v>
      </c>
      <c r="F6" s="350">
        <v>0</v>
      </c>
      <c r="G6" s="564">
        <f t="shared" ref="G6:G19" si="1">C6-E6-F6</f>
        <v>632246</v>
      </c>
      <c r="H6" s="353"/>
      <c r="I6" s="353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</row>
    <row r="7" spans="1:20" s="437" customFormat="1" ht="21.75" customHeight="1">
      <c r="A7" s="359" t="s">
        <v>448</v>
      </c>
      <c r="B7" s="744">
        <f>'16'!Q8</f>
        <v>102900</v>
      </c>
      <c r="C7" s="361">
        <f>'17'!T8</f>
        <v>52292</v>
      </c>
      <c r="D7" s="625">
        <v>20</v>
      </c>
      <c r="E7" s="744">
        <f t="shared" si="0"/>
        <v>10458.4</v>
      </c>
      <c r="F7" s="361">
        <v>0</v>
      </c>
      <c r="G7" s="748">
        <f t="shared" si="1"/>
        <v>41833.599999999999</v>
      </c>
      <c r="H7" s="749"/>
      <c r="I7" s="749"/>
      <c r="J7" s="747"/>
      <c r="K7" s="747"/>
      <c r="L7" s="747"/>
      <c r="M7" s="747"/>
      <c r="N7" s="747"/>
      <c r="O7" s="747"/>
      <c r="P7" s="747"/>
      <c r="Q7" s="747"/>
      <c r="R7" s="747"/>
      <c r="S7" s="747"/>
      <c r="T7" s="747"/>
    </row>
    <row r="8" spans="1:20" ht="21.75" customHeight="1">
      <c r="A8" s="355" t="s">
        <v>117</v>
      </c>
      <c r="B8" s="340">
        <v>4250000</v>
      </c>
      <c r="C8" s="350">
        <v>4087612</v>
      </c>
      <c r="D8" s="532">
        <v>29</v>
      </c>
      <c r="E8" s="340">
        <f t="shared" si="0"/>
        <v>1185407.48</v>
      </c>
      <c r="F8" s="350">
        <v>0</v>
      </c>
      <c r="G8" s="564">
        <f t="shared" si="1"/>
        <v>2902204.52</v>
      </c>
      <c r="H8" s="351"/>
      <c r="I8" s="351"/>
      <c r="J8" s="351"/>
      <c r="K8" s="351"/>
    </row>
    <row r="9" spans="1:20" ht="21.75" customHeight="1">
      <c r="A9" s="355" t="s">
        <v>108</v>
      </c>
      <c r="B9" s="340">
        <v>845374</v>
      </c>
      <c r="C9" s="350">
        <v>807068</v>
      </c>
      <c r="D9" s="532">
        <v>15</v>
      </c>
      <c r="E9" s="340">
        <f t="shared" si="0"/>
        <v>121060.2</v>
      </c>
      <c r="F9" s="350">
        <v>0</v>
      </c>
      <c r="G9" s="564">
        <f t="shared" si="1"/>
        <v>686007.8</v>
      </c>
      <c r="H9" s="351"/>
      <c r="I9" s="351"/>
      <c r="J9" s="351"/>
      <c r="K9" s="351"/>
    </row>
    <row r="10" spans="1:20" ht="21.75" customHeight="1">
      <c r="A10" s="355" t="s">
        <v>110</v>
      </c>
      <c r="B10" s="340">
        <v>842964</v>
      </c>
      <c r="C10" s="350">
        <v>651381</v>
      </c>
      <c r="D10" s="625">
        <v>15</v>
      </c>
      <c r="E10" s="340">
        <f t="shared" si="0"/>
        <v>97707.15</v>
      </c>
      <c r="F10" s="361">
        <v>17856</v>
      </c>
      <c r="G10" s="564">
        <f t="shared" si="1"/>
        <v>535817.85</v>
      </c>
      <c r="H10" s="351"/>
      <c r="I10" s="351"/>
      <c r="J10" s="351"/>
      <c r="K10" s="351"/>
    </row>
    <row r="11" spans="1:20" ht="21.75" customHeight="1">
      <c r="A11" s="355" t="s">
        <v>102</v>
      </c>
      <c r="B11" s="340">
        <v>739199</v>
      </c>
      <c r="C11" s="350">
        <v>570969</v>
      </c>
      <c r="D11" s="626">
        <v>25</v>
      </c>
      <c r="E11" s="340">
        <f t="shared" si="0"/>
        <v>142742.25</v>
      </c>
      <c r="F11" s="357">
        <v>0</v>
      </c>
      <c r="G11" s="564">
        <f t="shared" si="1"/>
        <v>428226.75</v>
      </c>
      <c r="H11" s="351"/>
      <c r="I11" s="351"/>
      <c r="J11" s="351"/>
      <c r="K11" s="351"/>
    </row>
    <row r="12" spans="1:20" s="358" customFormat="1" ht="21.75" customHeight="1">
      <c r="A12" s="355" t="s">
        <v>109</v>
      </c>
      <c r="B12" s="340">
        <v>768584</v>
      </c>
      <c r="C12" s="350">
        <v>674854</v>
      </c>
      <c r="D12" s="532">
        <v>20</v>
      </c>
      <c r="E12" s="340">
        <f t="shared" si="0"/>
        <v>134970.79999999999</v>
      </c>
      <c r="F12" s="350">
        <v>240</v>
      </c>
      <c r="G12" s="564">
        <f t="shared" si="1"/>
        <v>539643.19999999995</v>
      </c>
      <c r="H12" s="351"/>
      <c r="I12" s="351"/>
      <c r="J12" s="351"/>
      <c r="K12" s="351"/>
    </row>
    <row r="13" spans="1:20" s="358" customFormat="1" ht="21.75" customHeight="1">
      <c r="A13" s="359" t="s">
        <v>107</v>
      </c>
      <c r="B13" s="340">
        <v>959816</v>
      </c>
      <c r="C13" s="350">
        <v>500722</v>
      </c>
      <c r="D13" s="625">
        <v>35</v>
      </c>
      <c r="E13" s="340">
        <f t="shared" si="0"/>
        <v>175252.7</v>
      </c>
      <c r="F13" s="361">
        <v>234389</v>
      </c>
      <c r="G13" s="564">
        <f t="shared" si="1"/>
        <v>91080.299999999988</v>
      </c>
      <c r="H13" s="351"/>
      <c r="I13" s="351"/>
      <c r="J13" s="351"/>
      <c r="K13" s="351"/>
    </row>
    <row r="14" spans="1:20" s="358" customFormat="1" ht="21.75" customHeight="1">
      <c r="A14" s="359" t="s">
        <v>111</v>
      </c>
      <c r="B14" s="340">
        <v>829512</v>
      </c>
      <c r="C14" s="350">
        <v>766110</v>
      </c>
      <c r="D14" s="625">
        <v>35</v>
      </c>
      <c r="E14" s="340">
        <f t="shared" si="0"/>
        <v>268138.5</v>
      </c>
      <c r="F14" s="361">
        <v>3000</v>
      </c>
      <c r="G14" s="748">
        <v>494971</v>
      </c>
      <c r="H14" s="351"/>
      <c r="I14" s="351"/>
      <c r="J14" s="533">
        <f>G14*69/100</f>
        <v>341529.99</v>
      </c>
      <c r="K14" s="351"/>
    </row>
    <row r="15" spans="1:20" s="358" customFormat="1" ht="21.75" customHeight="1">
      <c r="A15" s="359" t="s">
        <v>112</v>
      </c>
      <c r="B15" s="340">
        <v>678658</v>
      </c>
      <c r="C15" s="350">
        <v>439809</v>
      </c>
      <c r="D15" s="625">
        <v>25</v>
      </c>
      <c r="E15" s="340">
        <f t="shared" si="0"/>
        <v>109952.25</v>
      </c>
      <c r="F15" s="361">
        <v>17584</v>
      </c>
      <c r="G15" s="564">
        <f t="shared" si="1"/>
        <v>312272.75</v>
      </c>
      <c r="H15" s="351"/>
      <c r="I15" s="351">
        <f>583234-87485-1352</f>
        <v>494397</v>
      </c>
      <c r="J15" s="351">
        <f>I15*70/100</f>
        <v>346077.9</v>
      </c>
      <c r="K15" s="351"/>
    </row>
    <row r="16" spans="1:20" s="358" customFormat="1" ht="21.75" customHeight="1">
      <c r="A16" s="359" t="s">
        <v>113</v>
      </c>
      <c r="B16" s="340">
        <v>317380</v>
      </c>
      <c r="C16" s="350">
        <v>238640</v>
      </c>
      <c r="D16" s="625">
        <v>33</v>
      </c>
      <c r="E16" s="340">
        <f t="shared" si="0"/>
        <v>78751.199999999997</v>
      </c>
      <c r="F16" s="361">
        <v>0</v>
      </c>
      <c r="G16" s="564">
        <f t="shared" si="1"/>
        <v>159888.79999999999</v>
      </c>
      <c r="H16" s="351"/>
      <c r="I16" s="351"/>
      <c r="J16" s="351">
        <f>I15*30/100</f>
        <v>148319.1</v>
      </c>
      <c r="K16" s="351"/>
    </row>
    <row r="17" spans="1:21" s="436" customFormat="1" ht="21.75" customHeight="1">
      <c r="A17" s="359" t="s">
        <v>114</v>
      </c>
      <c r="B17" s="744">
        <v>673426</v>
      </c>
      <c r="C17" s="361">
        <f>'17'!T18</f>
        <v>620016</v>
      </c>
      <c r="D17" s="625">
        <v>8</v>
      </c>
      <c r="E17" s="361">
        <f t="shared" si="0"/>
        <v>49601.279999999999</v>
      </c>
      <c r="F17" s="361">
        <v>46668</v>
      </c>
      <c r="G17" s="361">
        <f t="shared" si="1"/>
        <v>523746.72</v>
      </c>
      <c r="H17" s="747"/>
      <c r="I17" s="747"/>
      <c r="J17" s="747"/>
      <c r="K17" s="747"/>
    </row>
    <row r="18" spans="1:21" s="358" customFormat="1" ht="21.75" customHeight="1">
      <c r="A18" s="359" t="s">
        <v>115</v>
      </c>
      <c r="B18" s="340">
        <v>517905</v>
      </c>
      <c r="C18" s="350">
        <v>430030</v>
      </c>
      <c r="D18" s="625">
        <v>5</v>
      </c>
      <c r="E18" s="340">
        <f t="shared" si="0"/>
        <v>21501.5</v>
      </c>
      <c r="F18" s="361">
        <v>2631</v>
      </c>
      <c r="G18" s="748">
        <v>405897</v>
      </c>
      <c r="H18" s="351"/>
      <c r="I18" s="533">
        <f>495749*70/100</f>
        <v>347024.3</v>
      </c>
      <c r="J18" s="351"/>
      <c r="K18" s="351"/>
    </row>
    <row r="19" spans="1:21" s="358" customFormat="1" ht="21.75" customHeight="1" thickBot="1">
      <c r="A19" s="362" t="s">
        <v>116</v>
      </c>
      <c r="B19" s="340">
        <v>2565420</v>
      </c>
      <c r="C19" s="379">
        <v>1536826</v>
      </c>
      <c r="D19" s="626">
        <v>26</v>
      </c>
      <c r="E19" s="340">
        <f t="shared" si="0"/>
        <v>399574.76</v>
      </c>
      <c r="F19" s="357">
        <v>0</v>
      </c>
      <c r="G19" s="564">
        <f t="shared" si="1"/>
        <v>1137251.24</v>
      </c>
      <c r="H19" s="351"/>
      <c r="I19" s="533">
        <f>495749*30/100</f>
        <v>148724.70000000001</v>
      </c>
      <c r="J19" s="351"/>
      <c r="K19" s="351"/>
    </row>
    <row r="20" spans="1:21" ht="21.75" customHeight="1" thickTop="1" thickBot="1">
      <c r="A20" s="374" t="s">
        <v>410</v>
      </c>
      <c r="B20" s="377">
        <f>SUM(B4:B19)</f>
        <v>16650118</v>
      </c>
      <c r="C20" s="377">
        <f>SUM(C4:C19)</f>
        <v>13793332</v>
      </c>
      <c r="D20" s="536">
        <f>E20/C20*100</f>
        <v>24.330063497347851</v>
      </c>
      <c r="E20" s="377">
        <f>SUM(E4:E19)</f>
        <v>3355926.4340000004</v>
      </c>
      <c r="F20" s="377">
        <f>SUM(F4:F19)</f>
        <v>322868</v>
      </c>
      <c r="G20" s="377">
        <v>10114538</v>
      </c>
      <c r="H20" s="351"/>
      <c r="I20" s="533">
        <f>SUM(I18:I19)</f>
        <v>495749</v>
      </c>
      <c r="J20" s="351"/>
      <c r="K20" s="533">
        <f>G19*81/100</f>
        <v>921173.50439999998</v>
      </c>
    </row>
    <row r="21" spans="1:21" ht="19.5" customHeight="1" thickTop="1" thickBot="1">
      <c r="A21" s="1046" t="s">
        <v>669</v>
      </c>
      <c r="B21" s="1046"/>
      <c r="C21" s="1046"/>
      <c r="D21" s="1046"/>
      <c r="E21" s="1046"/>
      <c r="F21" s="1046"/>
      <c r="G21" s="1046"/>
      <c r="H21" s="351"/>
      <c r="I21" s="533"/>
      <c r="J21" s="351"/>
      <c r="K21" s="533"/>
    </row>
    <row r="22" spans="1:21" ht="27.75" customHeight="1" thickTop="1">
      <c r="A22" s="1052" t="s">
        <v>672</v>
      </c>
      <c r="B22" s="1052"/>
      <c r="C22" s="1052"/>
      <c r="D22" s="1052"/>
      <c r="E22" s="1052"/>
      <c r="F22" s="1052"/>
      <c r="G22" s="1052"/>
      <c r="H22" s="860"/>
      <c r="I22" s="860"/>
      <c r="J22" s="860"/>
      <c r="K22" s="860"/>
      <c r="L22" s="860"/>
      <c r="M22" s="860"/>
      <c r="N22" s="860"/>
      <c r="O22" s="860"/>
      <c r="P22" s="860"/>
      <c r="Q22" s="860"/>
      <c r="R22" s="860"/>
      <c r="S22" s="860"/>
      <c r="T22" s="860"/>
      <c r="U22" s="860"/>
    </row>
    <row r="23" spans="1:21" ht="21" customHeight="1">
      <c r="A23" s="956" t="s">
        <v>431</v>
      </c>
      <c r="B23" s="956"/>
      <c r="C23" s="956"/>
      <c r="D23" s="956"/>
      <c r="E23" s="956"/>
      <c r="F23" s="956"/>
      <c r="G23" s="956"/>
      <c r="H23" s="956"/>
      <c r="I23" s="956"/>
      <c r="J23" s="956"/>
      <c r="K23" s="956"/>
      <c r="L23" s="956"/>
      <c r="M23" s="956"/>
      <c r="N23" s="956"/>
      <c r="O23" s="351"/>
    </row>
    <row r="24" spans="1:21" ht="21" customHeight="1" thickBot="1">
      <c r="A24" s="961" t="s">
        <v>432</v>
      </c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  <c r="M24" s="961"/>
      <c r="N24" s="961"/>
      <c r="O24" s="351"/>
    </row>
    <row r="25" spans="1:21" ht="21" customHeight="1">
      <c r="A25" s="1027" t="s">
        <v>336</v>
      </c>
      <c r="B25" s="1027"/>
      <c r="C25" s="1027"/>
      <c r="D25" s="1027"/>
      <c r="E25" s="1027"/>
      <c r="F25" s="460"/>
      <c r="G25" s="469">
        <v>41</v>
      </c>
      <c r="H25" s="351"/>
      <c r="I25" s="351"/>
      <c r="J25" s="351"/>
      <c r="K25" s="533">
        <f>SUM(K20:K24)</f>
        <v>921173.50439999998</v>
      </c>
    </row>
    <row r="26" spans="1:21">
      <c r="H26" s="351"/>
      <c r="I26" s="351"/>
      <c r="J26" s="351"/>
      <c r="K26" s="351"/>
    </row>
    <row r="28" spans="1:21">
      <c r="E28" s="648">
        <f>C20*D20/100</f>
        <v>3355926.4340000004</v>
      </c>
    </row>
  </sheetData>
  <mergeCells count="9">
    <mergeCell ref="K3:M3"/>
    <mergeCell ref="A1:G1"/>
    <mergeCell ref="H1:O1"/>
    <mergeCell ref="H2:O2"/>
    <mergeCell ref="A25:E25"/>
    <mergeCell ref="A23:N23"/>
    <mergeCell ref="A24:N24"/>
    <mergeCell ref="A22:G22"/>
    <mergeCell ref="A21:G21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O28"/>
  <sheetViews>
    <sheetView rightToLeft="1" view="pageBreakPreview" topLeftCell="A16" zoomScale="120" zoomScaleSheetLayoutView="120" workbookViewId="0">
      <selection activeCell="F21" sqref="F21"/>
    </sheetView>
  </sheetViews>
  <sheetFormatPr defaultColWidth="10.375" defaultRowHeight="14.25"/>
  <cols>
    <col min="1" max="1" width="14.125" style="345" customWidth="1"/>
    <col min="2" max="4" width="10" style="345" customWidth="1"/>
    <col min="5" max="5" width="1.125" style="345" customWidth="1"/>
    <col min="6" max="7" width="10" style="345" customWidth="1"/>
    <col min="8" max="8" width="10.375" style="345" customWidth="1"/>
    <col min="9" max="9" width="1.125" style="345" customWidth="1"/>
    <col min="10" max="12" width="10" style="345" customWidth="1"/>
    <col min="13" max="13" width="12.875" style="345" customWidth="1"/>
    <col min="14" max="14" width="10.375" style="345"/>
    <col min="15" max="15" width="17.25" style="345" customWidth="1"/>
    <col min="16" max="16384" width="10.375" style="345"/>
  </cols>
  <sheetData>
    <row r="1" spans="1:15" ht="23.25" customHeight="1">
      <c r="A1" s="1054" t="s">
        <v>474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</row>
    <row r="2" spans="1:15" ht="23.25" customHeight="1" thickBot="1">
      <c r="A2" s="1055" t="s">
        <v>389</v>
      </c>
      <c r="B2" s="1055"/>
      <c r="C2" s="1055"/>
      <c r="D2" s="1055"/>
      <c r="E2" s="1055"/>
      <c r="F2" s="1055"/>
      <c r="G2" s="1055"/>
      <c r="H2" s="1055"/>
      <c r="I2" s="1055"/>
      <c r="J2" s="1055"/>
      <c r="K2" s="1055"/>
      <c r="L2" s="1055"/>
    </row>
    <row r="3" spans="1:15" ht="23.25" customHeight="1" thickTop="1">
      <c r="A3" s="1056" t="s">
        <v>103</v>
      </c>
      <c r="B3" s="1058" t="s">
        <v>8</v>
      </c>
      <c r="C3" s="1058"/>
      <c r="D3" s="1058"/>
      <c r="E3" s="894"/>
      <c r="F3" s="1058" t="s">
        <v>361</v>
      </c>
      <c r="G3" s="1058"/>
      <c r="H3" s="1058"/>
      <c r="I3" s="1058"/>
      <c r="J3" s="1058" t="s">
        <v>362</v>
      </c>
      <c r="K3" s="1058"/>
      <c r="L3" s="1058"/>
    </row>
    <row r="4" spans="1:15" ht="23.25" customHeight="1">
      <c r="A4" s="1057"/>
      <c r="B4" s="425" t="s">
        <v>363</v>
      </c>
      <c r="C4" s="425" t="s">
        <v>119</v>
      </c>
      <c r="D4" s="425" t="s">
        <v>47</v>
      </c>
      <c r="E4" s="895"/>
      <c r="F4" s="425" t="s">
        <v>363</v>
      </c>
      <c r="G4" s="425" t="s">
        <v>119</v>
      </c>
      <c r="H4" s="425" t="s">
        <v>47</v>
      </c>
      <c r="I4" s="1059"/>
      <c r="J4" s="425" t="s">
        <v>355</v>
      </c>
      <c r="K4" s="425" t="s">
        <v>364</v>
      </c>
      <c r="L4" s="425" t="s">
        <v>47</v>
      </c>
    </row>
    <row r="5" spans="1:15" s="437" customFormat="1" ht="21.75" customHeight="1">
      <c r="A5" s="736" t="s">
        <v>104</v>
      </c>
      <c r="B5" s="361">
        <v>2203503</v>
      </c>
      <c r="C5" s="361">
        <v>1430145</v>
      </c>
      <c r="D5" s="361">
        <f t="shared" ref="D5:D20" si="0">SUM(B5:C5)</f>
        <v>3633648</v>
      </c>
      <c r="E5" s="438"/>
      <c r="F5" s="361">
        <f>ROUND((B5*J5/100),0)</f>
        <v>2093328</v>
      </c>
      <c r="G5" s="361">
        <f>ROUND((C5*K5/100),0)</f>
        <v>1072609</v>
      </c>
      <c r="H5" s="361">
        <f>SUM(F5:G5)</f>
        <v>3165937</v>
      </c>
      <c r="I5" s="361"/>
      <c r="J5" s="750">
        <v>95</v>
      </c>
      <c r="K5" s="750">
        <v>75</v>
      </c>
      <c r="L5" s="750">
        <f>H5/D5*100</f>
        <v>87.128334940533591</v>
      </c>
    </row>
    <row r="6" spans="1:15" ht="21.75" customHeight="1">
      <c r="A6" s="336" t="s">
        <v>105</v>
      </c>
      <c r="B6" s="350">
        <v>1150607</v>
      </c>
      <c r="C6" s="350">
        <v>406011</v>
      </c>
      <c r="D6" s="350">
        <f t="shared" si="0"/>
        <v>1556618</v>
      </c>
      <c r="E6" s="431"/>
      <c r="F6" s="361">
        <f t="shared" ref="F6:G20" si="1">ROUND((B6*J6/100),0)</f>
        <v>1058558</v>
      </c>
      <c r="G6" s="361">
        <f t="shared" si="1"/>
        <v>336989</v>
      </c>
      <c r="H6" s="350">
        <v>1395547</v>
      </c>
      <c r="I6" s="350"/>
      <c r="J6" s="386">
        <v>92</v>
      </c>
      <c r="K6" s="386">
        <v>83</v>
      </c>
      <c r="L6" s="386">
        <f>H6/D6*100</f>
        <v>89.652503054699352</v>
      </c>
    </row>
    <row r="7" spans="1:15" ht="21.75" customHeight="1">
      <c r="A7" s="346" t="s">
        <v>106</v>
      </c>
      <c r="B7" s="350">
        <v>784734</v>
      </c>
      <c r="C7" s="350">
        <v>810208</v>
      </c>
      <c r="D7" s="350">
        <f t="shared" si="0"/>
        <v>1594942</v>
      </c>
      <c r="E7" s="432"/>
      <c r="F7" s="361">
        <f t="shared" si="1"/>
        <v>784734</v>
      </c>
      <c r="G7" s="361">
        <f t="shared" si="1"/>
        <v>640064</v>
      </c>
      <c r="H7" s="350">
        <f t="shared" ref="H7:H20" si="2">SUM(F7:G7)</f>
        <v>1424798</v>
      </c>
      <c r="I7" s="350"/>
      <c r="J7" s="386">
        <v>100</v>
      </c>
      <c r="K7" s="386">
        <v>79</v>
      </c>
      <c r="L7" s="386">
        <f t="shared" ref="L7:L20" si="3">H7/D7*100</f>
        <v>89.332276659590121</v>
      </c>
    </row>
    <row r="8" spans="1:15" s="437" customFormat="1" ht="21.75" customHeight="1">
      <c r="A8" s="359" t="s">
        <v>448</v>
      </c>
      <c r="B8" s="361">
        <v>863237</v>
      </c>
      <c r="C8" s="361">
        <v>862677</v>
      </c>
      <c r="D8" s="361">
        <f t="shared" si="0"/>
        <v>1725914</v>
      </c>
      <c r="E8" s="438"/>
      <c r="F8" s="361">
        <f t="shared" si="1"/>
        <v>776913</v>
      </c>
      <c r="G8" s="361">
        <f t="shared" si="1"/>
        <v>603874</v>
      </c>
      <c r="H8" s="361">
        <f>SUM(F8:G8)</f>
        <v>1380787</v>
      </c>
      <c r="I8" s="361"/>
      <c r="J8" s="750">
        <v>90</v>
      </c>
      <c r="K8" s="750">
        <v>70</v>
      </c>
      <c r="L8" s="750">
        <f t="shared" si="3"/>
        <v>80.00323306955039</v>
      </c>
    </row>
    <row r="9" spans="1:15" ht="21.75" customHeight="1">
      <c r="A9" s="355" t="s">
        <v>117</v>
      </c>
      <c r="B9" s="350">
        <v>5838251</v>
      </c>
      <c r="C9" s="350">
        <v>0</v>
      </c>
      <c r="D9" s="350">
        <f t="shared" si="0"/>
        <v>5838251</v>
      </c>
      <c r="E9" s="431"/>
      <c r="F9" s="361">
        <f t="shared" si="1"/>
        <v>5838251</v>
      </c>
      <c r="G9" s="361">
        <f t="shared" si="1"/>
        <v>0</v>
      </c>
      <c r="H9" s="350">
        <f t="shared" si="2"/>
        <v>5838251</v>
      </c>
      <c r="I9" s="350"/>
      <c r="J9" s="386">
        <v>100</v>
      </c>
      <c r="K9" s="386">
        <v>0</v>
      </c>
      <c r="L9" s="386">
        <f t="shared" si="3"/>
        <v>100</v>
      </c>
      <c r="M9" s="433"/>
      <c r="N9" s="433"/>
      <c r="O9" s="434"/>
    </row>
    <row r="10" spans="1:15" ht="21.75" customHeight="1">
      <c r="A10" s="355" t="s">
        <v>108</v>
      </c>
      <c r="B10" s="350">
        <v>1088334</v>
      </c>
      <c r="C10" s="350">
        <v>990262</v>
      </c>
      <c r="D10" s="350">
        <f t="shared" si="0"/>
        <v>2078596</v>
      </c>
      <c r="E10" s="431"/>
      <c r="F10" s="361">
        <f t="shared" si="1"/>
        <v>653000</v>
      </c>
      <c r="G10" s="361">
        <f t="shared" si="1"/>
        <v>396105</v>
      </c>
      <c r="H10" s="350">
        <f t="shared" si="2"/>
        <v>1049105</v>
      </c>
      <c r="I10" s="350"/>
      <c r="J10" s="386">
        <v>60</v>
      </c>
      <c r="K10" s="386">
        <v>40</v>
      </c>
      <c r="L10" s="386">
        <f t="shared" si="3"/>
        <v>50.471808855592911</v>
      </c>
      <c r="M10" s="433"/>
      <c r="N10" s="433"/>
      <c r="O10" s="434"/>
    </row>
    <row r="11" spans="1:15" ht="21.75" customHeight="1">
      <c r="A11" s="355" t="s">
        <v>110</v>
      </c>
      <c r="B11" s="379">
        <v>971137</v>
      </c>
      <c r="C11" s="379">
        <v>1040569</v>
      </c>
      <c r="D11" s="357">
        <f t="shared" si="0"/>
        <v>2011706</v>
      </c>
      <c r="E11" s="431"/>
      <c r="F11" s="361">
        <f t="shared" si="1"/>
        <v>776910</v>
      </c>
      <c r="G11" s="361">
        <f t="shared" si="1"/>
        <v>593124</v>
      </c>
      <c r="H11" s="350">
        <f>F11+G11</f>
        <v>1370034</v>
      </c>
      <c r="I11" s="350"/>
      <c r="J11" s="386">
        <v>80</v>
      </c>
      <c r="K11" s="386">
        <v>57</v>
      </c>
      <c r="L11" s="386">
        <f t="shared" si="3"/>
        <v>68.103092599017941</v>
      </c>
    </row>
    <row r="12" spans="1:15" ht="21.75" customHeight="1">
      <c r="A12" s="355" t="s">
        <v>102</v>
      </c>
      <c r="B12" s="350">
        <v>793816</v>
      </c>
      <c r="C12" s="350">
        <v>393429</v>
      </c>
      <c r="D12" s="350">
        <f t="shared" si="0"/>
        <v>1187245</v>
      </c>
      <c r="E12" s="435"/>
      <c r="F12" s="361">
        <f t="shared" si="1"/>
        <v>762063</v>
      </c>
      <c r="G12" s="361">
        <f t="shared" si="1"/>
        <v>338349</v>
      </c>
      <c r="H12" s="357">
        <f t="shared" si="2"/>
        <v>1100412</v>
      </c>
      <c r="I12" s="357"/>
      <c r="J12" s="386">
        <v>96</v>
      </c>
      <c r="K12" s="386">
        <v>86</v>
      </c>
      <c r="L12" s="386">
        <f t="shared" si="3"/>
        <v>92.686176821127901</v>
      </c>
    </row>
    <row r="13" spans="1:15" s="358" customFormat="1" ht="21.75" customHeight="1">
      <c r="A13" s="355" t="s">
        <v>109</v>
      </c>
      <c r="B13" s="350">
        <v>808359</v>
      </c>
      <c r="C13" s="350">
        <v>534766</v>
      </c>
      <c r="D13" s="350">
        <f t="shared" si="0"/>
        <v>1343125</v>
      </c>
      <c r="E13" s="431"/>
      <c r="F13" s="361">
        <f t="shared" si="1"/>
        <v>727523</v>
      </c>
      <c r="G13" s="361">
        <f t="shared" si="1"/>
        <v>347598</v>
      </c>
      <c r="H13" s="350">
        <f t="shared" si="2"/>
        <v>1075121</v>
      </c>
      <c r="I13" s="350"/>
      <c r="J13" s="386">
        <v>90</v>
      </c>
      <c r="K13" s="386">
        <v>65</v>
      </c>
      <c r="L13" s="386">
        <f t="shared" si="3"/>
        <v>80.046235458352726</v>
      </c>
      <c r="M13" s="436"/>
      <c r="N13" s="436"/>
      <c r="O13" s="437"/>
    </row>
    <row r="14" spans="1:15" s="358" customFormat="1" ht="21.75" customHeight="1">
      <c r="A14" s="359" t="s">
        <v>107</v>
      </c>
      <c r="B14" s="350">
        <v>700760</v>
      </c>
      <c r="C14" s="350">
        <v>853277</v>
      </c>
      <c r="D14" s="350">
        <f t="shared" si="0"/>
        <v>1554037</v>
      </c>
      <c r="E14" s="438"/>
      <c r="F14" s="361">
        <f t="shared" si="1"/>
        <v>504547</v>
      </c>
      <c r="G14" s="361">
        <f t="shared" si="1"/>
        <v>477835</v>
      </c>
      <c r="H14" s="350">
        <f t="shared" si="2"/>
        <v>982382</v>
      </c>
      <c r="I14" s="361"/>
      <c r="J14" s="386">
        <v>72</v>
      </c>
      <c r="K14" s="386">
        <v>56</v>
      </c>
      <c r="L14" s="386">
        <f t="shared" si="3"/>
        <v>63.214839801111552</v>
      </c>
      <c r="O14" s="345"/>
    </row>
    <row r="15" spans="1:15" s="358" customFormat="1" ht="21.75" customHeight="1">
      <c r="A15" s="359" t="s">
        <v>111</v>
      </c>
      <c r="B15" s="350">
        <v>1023818</v>
      </c>
      <c r="C15" s="350">
        <v>409765</v>
      </c>
      <c r="D15" s="350">
        <f t="shared" si="0"/>
        <v>1433583</v>
      </c>
      <c r="E15" s="438"/>
      <c r="F15" s="361">
        <f t="shared" si="1"/>
        <v>1003342</v>
      </c>
      <c r="G15" s="361">
        <f t="shared" si="1"/>
        <v>336007</v>
      </c>
      <c r="H15" s="361">
        <f t="shared" si="2"/>
        <v>1339349</v>
      </c>
      <c r="I15" s="361"/>
      <c r="J15" s="386">
        <v>98</v>
      </c>
      <c r="K15" s="386">
        <v>82</v>
      </c>
      <c r="L15" s="386">
        <f t="shared" si="3"/>
        <v>93.426679864367813</v>
      </c>
      <c r="O15" s="345"/>
    </row>
    <row r="16" spans="1:15" s="358" customFormat="1" ht="21.75" customHeight="1">
      <c r="A16" s="359" t="s">
        <v>112</v>
      </c>
      <c r="B16" s="350">
        <v>720490</v>
      </c>
      <c r="C16" s="350">
        <v>537199</v>
      </c>
      <c r="D16" s="350">
        <f t="shared" si="0"/>
        <v>1257689</v>
      </c>
      <c r="E16" s="438"/>
      <c r="F16" s="361">
        <f t="shared" si="1"/>
        <v>583597</v>
      </c>
      <c r="G16" s="361">
        <f t="shared" si="1"/>
        <v>333063</v>
      </c>
      <c r="H16" s="361">
        <f t="shared" si="2"/>
        <v>916660</v>
      </c>
      <c r="I16" s="361"/>
      <c r="J16" s="386">
        <v>81</v>
      </c>
      <c r="K16" s="386">
        <v>62</v>
      </c>
      <c r="L16" s="386">
        <f t="shared" si="3"/>
        <v>72.884473029500924</v>
      </c>
      <c r="O16" s="345"/>
    </row>
    <row r="17" spans="1:15" s="358" customFormat="1" ht="21.75" customHeight="1">
      <c r="A17" s="359" t="s">
        <v>113</v>
      </c>
      <c r="B17" s="350">
        <v>360289</v>
      </c>
      <c r="C17" s="350">
        <v>433054</v>
      </c>
      <c r="D17" s="350">
        <f t="shared" si="0"/>
        <v>793343</v>
      </c>
      <c r="E17" s="438"/>
      <c r="F17" s="361">
        <f t="shared" si="1"/>
        <v>320657</v>
      </c>
      <c r="G17" s="361">
        <f t="shared" si="1"/>
        <v>285816</v>
      </c>
      <c r="H17" s="361">
        <f t="shared" si="2"/>
        <v>606473</v>
      </c>
      <c r="I17" s="361"/>
      <c r="J17" s="386">
        <v>89</v>
      </c>
      <c r="K17" s="386">
        <v>66</v>
      </c>
      <c r="L17" s="386">
        <f t="shared" si="3"/>
        <v>76.445244994913935</v>
      </c>
      <c r="O17" s="345"/>
    </row>
    <row r="18" spans="1:15" s="436" customFormat="1" ht="21.75" customHeight="1">
      <c r="A18" s="359" t="s">
        <v>114</v>
      </c>
      <c r="B18" s="361">
        <v>1310076</v>
      </c>
      <c r="C18" s="361">
        <v>730990</v>
      </c>
      <c r="D18" s="361">
        <f t="shared" si="0"/>
        <v>2041066</v>
      </c>
      <c r="E18" s="438"/>
      <c r="F18" s="361">
        <f t="shared" si="1"/>
        <v>917053</v>
      </c>
      <c r="G18" s="361">
        <f t="shared" si="1"/>
        <v>570172</v>
      </c>
      <c r="H18" s="361">
        <f t="shared" si="2"/>
        <v>1487225</v>
      </c>
      <c r="I18" s="361"/>
      <c r="J18" s="750">
        <v>70</v>
      </c>
      <c r="K18" s="750">
        <v>78</v>
      </c>
      <c r="L18" s="750">
        <f t="shared" si="3"/>
        <v>72.865110682359131</v>
      </c>
      <c r="O18" s="437"/>
    </row>
    <row r="19" spans="1:15" s="358" customFormat="1" ht="21.75" customHeight="1">
      <c r="A19" s="359" t="s">
        <v>115</v>
      </c>
      <c r="B19" s="350">
        <v>800628</v>
      </c>
      <c r="C19" s="350">
        <v>283309</v>
      </c>
      <c r="D19" s="350">
        <f t="shared" si="0"/>
        <v>1083937</v>
      </c>
      <c r="E19" s="438"/>
      <c r="F19" s="361">
        <f t="shared" si="1"/>
        <v>736578</v>
      </c>
      <c r="G19" s="361">
        <f t="shared" si="1"/>
        <v>249312</v>
      </c>
      <c r="H19" s="361">
        <f t="shared" si="2"/>
        <v>985890</v>
      </c>
      <c r="I19" s="361"/>
      <c r="J19" s="386">
        <v>92</v>
      </c>
      <c r="K19" s="386">
        <v>88</v>
      </c>
      <c r="L19" s="386">
        <f t="shared" si="3"/>
        <v>90.95454809642996</v>
      </c>
      <c r="O19" s="345"/>
    </row>
    <row r="20" spans="1:15" s="358" customFormat="1" ht="21.75" customHeight="1" thickBot="1">
      <c r="A20" s="362" t="s">
        <v>116</v>
      </c>
      <c r="B20" s="379">
        <v>2301111</v>
      </c>
      <c r="C20" s="379">
        <v>532264</v>
      </c>
      <c r="D20" s="379">
        <f t="shared" si="0"/>
        <v>2833375</v>
      </c>
      <c r="E20" s="439"/>
      <c r="F20" s="361">
        <f t="shared" si="1"/>
        <v>2071000</v>
      </c>
      <c r="G20" s="361">
        <f t="shared" si="1"/>
        <v>479038</v>
      </c>
      <c r="H20" s="361">
        <f t="shared" si="2"/>
        <v>2550038</v>
      </c>
      <c r="I20" s="357"/>
      <c r="J20" s="386">
        <v>90</v>
      </c>
      <c r="K20" s="386">
        <v>90</v>
      </c>
      <c r="L20" s="386">
        <f t="shared" si="3"/>
        <v>90.000017646799307</v>
      </c>
      <c r="O20" s="345"/>
    </row>
    <row r="21" spans="1:15" ht="21.75" customHeight="1" thickTop="1" thickBot="1">
      <c r="A21" s="374" t="s">
        <v>410</v>
      </c>
      <c r="B21" s="442">
        <f>SUM(B5:B20)</f>
        <v>21719150</v>
      </c>
      <c r="C21" s="442">
        <f>SUM(C5:C20)</f>
        <v>10247925</v>
      </c>
      <c r="D21" s="442">
        <f>SUM(D5:D20)</f>
        <v>31967075</v>
      </c>
      <c r="E21" s="441"/>
      <c r="F21" s="377">
        <f>SUM(F5:F20)</f>
        <v>19608054</v>
      </c>
      <c r="G21" s="377">
        <f>SUM(G5:G20)</f>
        <v>7059955</v>
      </c>
      <c r="H21" s="377">
        <v>26668009</v>
      </c>
      <c r="I21" s="377"/>
      <c r="J21" s="387">
        <f>F21/B21*100</f>
        <v>90.280024770766815</v>
      </c>
      <c r="K21" s="387">
        <f>G21/C21*100</f>
        <v>68.891556095502267</v>
      </c>
      <c r="L21" s="387">
        <f>H21/D21*100</f>
        <v>83.423362944529643</v>
      </c>
    </row>
    <row r="22" spans="1:15" ht="18" customHeight="1" thickTop="1">
      <c r="A22" s="1053" t="s">
        <v>359</v>
      </c>
      <c r="B22" s="1053"/>
      <c r="C22" s="1053"/>
      <c r="D22" s="1053"/>
      <c r="E22" s="368"/>
      <c r="F22" s="382"/>
      <c r="G22" s="382"/>
      <c r="H22" s="382"/>
      <c r="I22" s="382"/>
      <c r="J22" s="370"/>
      <c r="K22" s="370"/>
      <c r="L22" s="370"/>
    </row>
    <row r="23" spans="1:15" ht="18" customHeight="1">
      <c r="A23" s="956" t="s">
        <v>431</v>
      </c>
      <c r="B23" s="956"/>
      <c r="C23" s="956"/>
      <c r="D23" s="956"/>
      <c r="E23" s="956"/>
      <c r="F23" s="956"/>
      <c r="G23" s="956"/>
      <c r="H23" s="956"/>
      <c r="I23" s="956"/>
      <c r="J23" s="956"/>
      <c r="K23" s="891"/>
      <c r="L23" s="891"/>
      <c r="M23" s="891"/>
      <c r="N23" s="891"/>
    </row>
    <row r="24" spans="1:15" ht="18" customHeight="1">
      <c r="A24" s="961" t="s">
        <v>432</v>
      </c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  <c r="M24" s="961"/>
      <c r="N24" s="961"/>
      <c r="O24" s="351"/>
    </row>
    <row r="25" spans="1:15" ht="18" customHeight="1" thickBot="1">
      <c r="A25" s="961"/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351"/>
    </row>
    <row r="26" spans="1:15" ht="18" customHeight="1">
      <c r="A26" s="1027" t="s">
        <v>336</v>
      </c>
      <c r="B26" s="1027"/>
      <c r="C26" s="1027"/>
      <c r="D26" s="1027"/>
      <c r="E26" s="1027"/>
      <c r="F26" s="1027"/>
      <c r="G26" s="1027"/>
      <c r="H26" s="1027"/>
      <c r="I26" s="892"/>
      <c r="J26" s="440"/>
      <c r="K26" s="440"/>
      <c r="L26" s="470">
        <v>42</v>
      </c>
    </row>
    <row r="27" spans="1:15" ht="18" customHeight="1"/>
    <row r="28" spans="1:15" ht="18" customHeight="1"/>
  </sheetData>
  <mergeCells count="12">
    <mergeCell ref="A22:D22"/>
    <mergeCell ref="A26:H26"/>
    <mergeCell ref="A1:L1"/>
    <mergeCell ref="A2:L2"/>
    <mergeCell ref="A3:A4"/>
    <mergeCell ref="B3:D3"/>
    <mergeCell ref="F3:H3"/>
    <mergeCell ref="I3:I4"/>
    <mergeCell ref="J3:L3"/>
    <mergeCell ref="A24:N24"/>
    <mergeCell ref="A25:N25"/>
    <mergeCell ref="A23:J2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J21"/>
  <sheetViews>
    <sheetView rightToLeft="1" view="pageBreakPreview" topLeftCell="B10" zoomScaleNormal="142" zoomScaleSheetLayoutView="100" workbookViewId="0">
      <selection activeCell="B1" sqref="B1:E1"/>
    </sheetView>
  </sheetViews>
  <sheetFormatPr defaultColWidth="9.125" defaultRowHeight="15"/>
  <cols>
    <col min="1" max="1" width="5.375" style="1" customWidth="1"/>
    <col min="2" max="2" width="20" style="1" customWidth="1"/>
    <col min="3" max="3" width="24.25" style="1" customWidth="1"/>
    <col min="4" max="4" width="20" style="1" customWidth="1"/>
    <col min="5" max="5" width="25.25" style="1" customWidth="1"/>
    <col min="6" max="6" width="5" style="1" customWidth="1"/>
    <col min="7" max="7" width="9.125" style="1"/>
    <col min="8" max="8" width="9.25" style="1" bestFit="1" customWidth="1"/>
    <col min="9" max="9" width="18" style="1" bestFit="1" customWidth="1"/>
    <col min="10" max="10" width="11" style="1" bestFit="1" customWidth="1"/>
    <col min="11" max="16384" width="9.125" style="1"/>
  </cols>
  <sheetData>
    <row r="1" spans="1:10" ht="22.5" customHeight="1">
      <c r="B1" s="943" t="s">
        <v>460</v>
      </c>
      <c r="C1" s="943"/>
      <c r="D1" s="943"/>
      <c r="E1" s="943"/>
    </row>
    <row r="2" spans="1:10" ht="23.25" customHeight="1" thickBot="1">
      <c r="B2" s="944" t="s">
        <v>301</v>
      </c>
      <c r="C2" s="944"/>
      <c r="D2" s="944"/>
      <c r="E2" s="944"/>
    </row>
    <row r="3" spans="1:10" ht="38.25" customHeight="1" thickTop="1">
      <c r="A3" s="230"/>
      <c r="B3" s="255" t="s">
        <v>4</v>
      </c>
      <c r="C3" s="255" t="s">
        <v>735</v>
      </c>
      <c r="D3" s="255" t="s">
        <v>8</v>
      </c>
      <c r="E3" s="255" t="s">
        <v>120</v>
      </c>
    </row>
    <row r="4" spans="1:10" ht="26.25" customHeight="1">
      <c r="B4" s="83" t="s">
        <v>9</v>
      </c>
      <c r="C4" s="86">
        <v>67.55</v>
      </c>
      <c r="D4" s="151">
        <v>28810441</v>
      </c>
      <c r="E4" s="86">
        <v>2344.6360991142064</v>
      </c>
      <c r="H4" s="5">
        <v>67.55</v>
      </c>
      <c r="I4" s="850">
        <f t="shared" ref="I4:I12" si="0">H4*1000000000</f>
        <v>67550000000</v>
      </c>
      <c r="J4" s="8">
        <f t="shared" ref="J4:J12" si="1">I4/D4</f>
        <v>2344.6360991142064</v>
      </c>
    </row>
    <row r="5" spans="1:10" ht="26.25" customHeight="1">
      <c r="B5" s="83" t="s">
        <v>10</v>
      </c>
      <c r="C5" s="86">
        <v>56.42</v>
      </c>
      <c r="D5" s="151">
        <v>29682081</v>
      </c>
      <c r="E5" s="86">
        <v>1900.810121770101</v>
      </c>
      <c r="H5" s="5">
        <v>56.42</v>
      </c>
      <c r="I5" s="850">
        <f t="shared" si="0"/>
        <v>56420000000</v>
      </c>
      <c r="J5" s="8">
        <f t="shared" si="1"/>
        <v>1900.810121770101</v>
      </c>
    </row>
    <row r="6" spans="1:10" ht="26.25" customHeight="1">
      <c r="B6" s="83" t="s">
        <v>11</v>
      </c>
      <c r="C6" s="86">
        <v>32.700000000000003</v>
      </c>
      <c r="D6" s="151">
        <v>30577798</v>
      </c>
      <c r="E6" s="86">
        <v>1069.4033625312065</v>
      </c>
      <c r="H6" s="7">
        <v>32.700000000000003</v>
      </c>
      <c r="I6" s="850">
        <f t="shared" si="0"/>
        <v>32700000000.000004</v>
      </c>
      <c r="J6" s="8">
        <f t="shared" si="1"/>
        <v>1069.4033625312065</v>
      </c>
    </row>
    <row r="7" spans="1:10" ht="26.25" customHeight="1">
      <c r="B7" s="83" t="s">
        <v>12</v>
      </c>
      <c r="C7" s="86">
        <v>32.11</v>
      </c>
      <c r="D7" s="151">
        <v>31664466</v>
      </c>
      <c r="E7" s="86">
        <v>1014.0704725606299</v>
      </c>
      <c r="H7" s="5">
        <v>32.11</v>
      </c>
      <c r="I7" s="850">
        <f t="shared" si="0"/>
        <v>32110000000</v>
      </c>
      <c r="J7" s="8">
        <f t="shared" si="1"/>
        <v>1014.0704725606299</v>
      </c>
    </row>
    <row r="8" spans="1:10" ht="26.25" customHeight="1">
      <c r="B8" s="83" t="s">
        <v>13</v>
      </c>
      <c r="C8" s="86">
        <v>50.12</v>
      </c>
      <c r="D8" s="151">
        <v>32489972</v>
      </c>
      <c r="E8" s="86">
        <v>1542.6298305212451</v>
      </c>
      <c r="H8" s="5">
        <v>50.12</v>
      </c>
      <c r="I8" s="850">
        <f t="shared" si="0"/>
        <v>50120000000</v>
      </c>
      <c r="J8" s="8">
        <f t="shared" si="1"/>
        <v>1542.6298305212451</v>
      </c>
    </row>
    <row r="9" spans="1:10" ht="26.25" customHeight="1">
      <c r="B9" s="83" t="s">
        <v>5</v>
      </c>
      <c r="C9" s="86">
        <v>47.57</v>
      </c>
      <c r="D9" s="151">
        <v>33338757</v>
      </c>
      <c r="E9" s="86">
        <v>1426.8678343346753</v>
      </c>
      <c r="H9" s="5">
        <v>47.57</v>
      </c>
      <c r="I9" s="850">
        <f t="shared" si="0"/>
        <v>47570000000</v>
      </c>
      <c r="J9" s="8">
        <f t="shared" si="1"/>
        <v>1426.8678343346753</v>
      </c>
    </row>
    <row r="10" spans="1:10" ht="26.25" customHeight="1" thickBot="1">
      <c r="B10" s="83" t="s">
        <v>6</v>
      </c>
      <c r="C10" s="86">
        <v>49.11</v>
      </c>
      <c r="D10" s="151">
        <v>34207248</v>
      </c>
      <c r="E10" s="86">
        <v>1435.6606529703881</v>
      </c>
      <c r="H10" s="6">
        <v>49.11</v>
      </c>
      <c r="I10" s="850">
        <f t="shared" si="0"/>
        <v>49110000000</v>
      </c>
      <c r="J10" s="8">
        <f t="shared" si="1"/>
        <v>1435.6606529703881</v>
      </c>
    </row>
    <row r="11" spans="1:10" ht="26.25" customHeight="1" thickTop="1">
      <c r="B11" s="83" t="s">
        <v>252</v>
      </c>
      <c r="C11" s="86">
        <v>56.02</v>
      </c>
      <c r="D11" s="151">
        <v>35095772</v>
      </c>
      <c r="E11" s="86">
        <v>1596.2034406589717</v>
      </c>
      <c r="H11" s="69">
        <v>56.02</v>
      </c>
      <c r="I11" s="850">
        <f t="shared" si="0"/>
        <v>56020000000</v>
      </c>
      <c r="J11" s="8">
        <f t="shared" si="1"/>
        <v>1596.2036680657716</v>
      </c>
    </row>
    <row r="12" spans="1:10" ht="26.25" customHeight="1">
      <c r="B12" s="83" t="s">
        <v>288</v>
      </c>
      <c r="C12" s="86">
        <v>37.25</v>
      </c>
      <c r="D12" s="151">
        <v>36004552</v>
      </c>
      <c r="E12" s="86">
        <v>1034.5913464169005</v>
      </c>
      <c r="H12" s="69">
        <v>37.25</v>
      </c>
      <c r="I12" s="850">
        <f t="shared" si="0"/>
        <v>37250000000</v>
      </c>
      <c r="J12" s="8">
        <f t="shared" si="1"/>
        <v>1034.5914038869307</v>
      </c>
    </row>
    <row r="13" spans="1:10" ht="26.25" customHeight="1" thickBot="1">
      <c r="B13" s="83" t="s">
        <v>304</v>
      </c>
      <c r="C13" s="86">
        <v>35.340000000000003</v>
      </c>
      <c r="D13" s="151">
        <v>35212600</v>
      </c>
      <c r="E13" s="86">
        <v>1003.62</v>
      </c>
      <c r="H13" s="87">
        <v>35.340000000000003</v>
      </c>
      <c r="I13" s="587">
        <f>H13*1000000000</f>
        <v>35340000000</v>
      </c>
      <c r="J13" s="8">
        <f>I13/D13</f>
        <v>1003.6180230940062</v>
      </c>
    </row>
    <row r="14" spans="1:10" ht="26.25" customHeight="1" thickTop="1" thickBot="1">
      <c r="B14" s="83" t="s">
        <v>411</v>
      </c>
      <c r="C14" s="86">
        <v>54.75</v>
      </c>
      <c r="D14" s="151">
        <v>36169123</v>
      </c>
      <c r="E14" s="86">
        <f>J14</f>
        <v>1513.7220772535734</v>
      </c>
      <c r="H14" s="87">
        <v>54.75</v>
      </c>
      <c r="I14" s="152">
        <f>H14*1000000000</f>
        <v>54750000000</v>
      </c>
      <c r="J14" s="8">
        <f>I14/D14</f>
        <v>1513.7220772535734</v>
      </c>
    </row>
    <row r="15" spans="1:10" ht="26.25" customHeight="1" thickTop="1" thickBot="1">
      <c r="B15" s="84" t="s">
        <v>459</v>
      </c>
      <c r="C15" s="87">
        <v>40.69</v>
      </c>
      <c r="D15" s="152">
        <v>37139519</v>
      </c>
      <c r="E15" s="87">
        <f>J15</f>
        <v>1095.5984648051042</v>
      </c>
      <c r="H15" s="87">
        <v>40.69</v>
      </c>
      <c r="I15" s="152">
        <f>H15*1000000000</f>
        <v>40690000000</v>
      </c>
      <c r="J15" s="87">
        <f>I15/D15</f>
        <v>1095.5984648051042</v>
      </c>
    </row>
    <row r="16" spans="1:10" ht="10.5" customHeight="1" thickTop="1">
      <c r="B16" s="162"/>
      <c r="C16" s="163"/>
      <c r="D16" s="164"/>
      <c r="E16" s="163"/>
      <c r="H16" s="69"/>
      <c r="J16" s="8"/>
    </row>
    <row r="17" spans="2:6" ht="18.75" customHeight="1">
      <c r="B17" s="946" t="s">
        <v>674</v>
      </c>
      <c r="C17" s="946"/>
      <c r="D17" s="946"/>
      <c r="E17" s="946"/>
    </row>
    <row r="18" spans="2:6" ht="18.75" customHeight="1">
      <c r="B18" s="946"/>
      <c r="C18" s="946"/>
      <c r="D18" s="946"/>
      <c r="E18" s="946"/>
    </row>
    <row r="19" spans="2:6">
      <c r="B19" s="942" t="s">
        <v>7</v>
      </c>
      <c r="C19" s="942"/>
      <c r="D19" s="942"/>
      <c r="E19" s="942"/>
      <c r="F19" s="942"/>
    </row>
    <row r="21" spans="2:6" ht="19.5" customHeight="1">
      <c r="B21" s="945" t="s">
        <v>287</v>
      </c>
      <c r="C21" s="945"/>
      <c r="D21" s="158"/>
      <c r="E21" s="333">
        <v>22</v>
      </c>
    </row>
  </sheetData>
  <mergeCells count="5">
    <mergeCell ref="B21:C21"/>
    <mergeCell ref="B1:E1"/>
    <mergeCell ref="B2:E2"/>
    <mergeCell ref="B19:F19"/>
    <mergeCell ref="B17:E18"/>
  </mergeCells>
  <printOptions horizontalCentered="1"/>
  <pageMargins left="0.7" right="0.7" top="0.75" bottom="0.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T52"/>
  <sheetViews>
    <sheetView rightToLeft="1" view="pageBreakPreview" topLeftCell="A16" zoomScale="90" zoomScaleSheetLayoutView="90" workbookViewId="0">
      <selection activeCell="C7" sqref="C7"/>
    </sheetView>
  </sheetViews>
  <sheetFormatPr defaultColWidth="10.375" defaultRowHeight="14.25"/>
  <cols>
    <col min="1" max="1" width="10.375" style="426" customWidth="1"/>
    <col min="2" max="2" width="12.75" style="426" customWidth="1"/>
    <col min="3" max="5" width="11.25" style="426" customWidth="1"/>
    <col min="6" max="6" width="1.25" style="426" customWidth="1"/>
    <col min="7" max="9" width="11.25" style="426" customWidth="1"/>
    <col min="10" max="10" width="1.25" style="426" customWidth="1"/>
    <col min="11" max="13" width="10.25" style="426" customWidth="1"/>
    <col min="14" max="14" width="10" style="426" customWidth="1"/>
    <col min="15" max="15" width="16.125" style="426" customWidth="1"/>
    <col min="16" max="16" width="14.625" style="426" bestFit="1" customWidth="1"/>
    <col min="17" max="17" width="12.75" style="426" bestFit="1" customWidth="1"/>
    <col min="18" max="18" width="14.75" style="426" customWidth="1"/>
    <col min="19" max="19" width="17.875" style="426" customWidth="1"/>
    <col min="20" max="16384" width="10.375" style="426"/>
  </cols>
  <sheetData>
    <row r="1" spans="1:20" ht="29.25" customHeight="1">
      <c r="A1" s="1060" t="s">
        <v>475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</row>
    <row r="2" spans="1:20" ht="29.25" customHeight="1" thickBot="1">
      <c r="A2" s="1061" t="s">
        <v>393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  <c r="O2" s="1061"/>
    </row>
    <row r="3" spans="1:20" ht="35.25" customHeight="1" thickTop="1">
      <c r="A3" s="1062" t="s">
        <v>103</v>
      </c>
      <c r="B3" s="1062" t="s">
        <v>358</v>
      </c>
      <c r="C3" s="1065" t="s">
        <v>357</v>
      </c>
      <c r="D3" s="1065"/>
      <c r="E3" s="1065"/>
      <c r="F3" s="1065"/>
      <c r="G3" s="1065" t="s">
        <v>440</v>
      </c>
      <c r="H3" s="1065"/>
      <c r="I3" s="1065"/>
      <c r="J3" s="896"/>
      <c r="K3" s="1064" t="s">
        <v>441</v>
      </c>
      <c r="L3" s="1064"/>
      <c r="M3" s="1064"/>
      <c r="N3" s="1062" t="s">
        <v>423</v>
      </c>
      <c r="O3" s="1062" t="s">
        <v>442</v>
      </c>
      <c r="P3" s="714" t="s">
        <v>595</v>
      </c>
      <c r="Q3" s="715" t="s">
        <v>592</v>
      </c>
      <c r="R3" s="715" t="s">
        <v>593</v>
      </c>
      <c r="S3" s="715" t="s">
        <v>610</v>
      </c>
    </row>
    <row r="4" spans="1:20" ht="25.5" customHeight="1">
      <c r="A4" s="1063"/>
      <c r="B4" s="1063"/>
      <c r="C4" s="425" t="s">
        <v>363</v>
      </c>
      <c r="D4" s="429" t="s">
        <v>119</v>
      </c>
      <c r="E4" s="430" t="s">
        <v>262</v>
      </c>
      <c r="F4" s="1066"/>
      <c r="G4" s="425" t="s">
        <v>363</v>
      </c>
      <c r="H4" s="429" t="s">
        <v>119</v>
      </c>
      <c r="I4" s="430" t="s">
        <v>262</v>
      </c>
      <c r="J4" s="474"/>
      <c r="K4" s="425" t="s">
        <v>363</v>
      </c>
      <c r="L4" s="429" t="s">
        <v>119</v>
      </c>
      <c r="M4" s="430" t="s">
        <v>262</v>
      </c>
      <c r="N4" s="1063"/>
      <c r="O4" s="1063"/>
    </row>
    <row r="5" spans="1:20" ht="21" customHeight="1">
      <c r="A5" s="336" t="s">
        <v>104</v>
      </c>
      <c r="B5" s="361">
        <f>'[1]19'!D5:D20</f>
        <v>3633648</v>
      </c>
      <c r="C5" s="350">
        <f>'[1]19'!F5:F20</f>
        <v>2093328</v>
      </c>
      <c r="D5" s="350">
        <f>'[1]19'!G5:G20</f>
        <v>1072609</v>
      </c>
      <c r="E5" s="350">
        <f t="shared" ref="E5:E20" si="0">SUM(C5:D5)</f>
        <v>3165937</v>
      </c>
      <c r="F5" s="350"/>
      <c r="G5" s="348">
        <v>659482</v>
      </c>
      <c r="H5" s="349">
        <v>219827</v>
      </c>
      <c r="I5" s="631">
        <f>SUM(G5:H5)</f>
        <v>879309</v>
      </c>
      <c r="J5" s="381"/>
      <c r="K5" s="632">
        <f>G5/C5*1000</f>
        <v>315.03997462413918</v>
      </c>
      <c r="L5" s="632">
        <f>H5/D5*1000</f>
        <v>204.94607074898681</v>
      </c>
      <c r="M5" s="632">
        <f>I5/E5*1000</f>
        <v>277.74052357959113</v>
      </c>
      <c r="N5" s="744">
        <v>500</v>
      </c>
      <c r="O5" s="630">
        <f>S5:S21</f>
        <v>242.12829641176032</v>
      </c>
      <c r="P5" s="755">
        <v>879309</v>
      </c>
      <c r="Q5" s="426">
        <v>500</v>
      </c>
      <c r="R5" s="756">
        <f t="shared" ref="R5:R21" si="1">SUM(P5:Q5)</f>
        <v>879809</v>
      </c>
      <c r="S5" s="757">
        <f>R5/B5*1000</f>
        <v>242.12829641176032</v>
      </c>
      <c r="T5" s="715"/>
    </row>
    <row r="6" spans="1:20" s="345" customFormat="1" ht="21" customHeight="1">
      <c r="A6" s="336" t="s">
        <v>105</v>
      </c>
      <c r="B6" s="361">
        <f>'[1]19'!D6:D21</f>
        <v>1556618</v>
      </c>
      <c r="C6" s="350">
        <v>1058558.44</v>
      </c>
      <c r="D6" s="350">
        <v>336989.13</v>
      </c>
      <c r="E6" s="350">
        <v>1395547</v>
      </c>
      <c r="F6" s="350"/>
      <c r="G6" s="348">
        <v>309726</v>
      </c>
      <c r="H6" s="349">
        <v>34414</v>
      </c>
      <c r="I6" s="381">
        <f>SUM(G6:H6)</f>
        <v>344140</v>
      </c>
      <c r="J6" s="381"/>
      <c r="K6" s="632">
        <f t="shared" ref="K6:M21" si="2">G6/C6*1000</f>
        <v>292.59225404692825</v>
      </c>
      <c r="L6" s="632">
        <f t="shared" si="2"/>
        <v>102.12198832644839</v>
      </c>
      <c r="M6" s="632">
        <f t="shared" si="2"/>
        <v>246.59864554902128</v>
      </c>
      <c r="N6" s="340">
        <v>0</v>
      </c>
      <c r="O6" s="630">
        <f t="shared" ref="O6:O21" si="3">S6:S22</f>
        <v>221.08185823368353</v>
      </c>
      <c r="P6" s="716">
        <v>344140</v>
      </c>
      <c r="Q6" s="752">
        <v>0</v>
      </c>
      <c r="R6" s="718">
        <f t="shared" si="1"/>
        <v>344140</v>
      </c>
      <c r="S6" s="757">
        <f t="shared" ref="S6:S21" si="4">R6/B6*1000</f>
        <v>221.08185823368353</v>
      </c>
      <c r="T6" s="717">
        <f>S6/R6*1000</f>
        <v>0.64241837110967492</v>
      </c>
    </row>
    <row r="7" spans="1:20" s="345" customFormat="1" ht="21" customHeight="1">
      <c r="A7" s="346" t="s">
        <v>106</v>
      </c>
      <c r="B7" s="361">
        <f>'[1]19'!D7:D22</f>
        <v>1594942</v>
      </c>
      <c r="C7" s="350">
        <f>'[1]19'!F7:F22</f>
        <v>784734</v>
      </c>
      <c r="D7" s="350">
        <f>'[1]19'!G7:G22</f>
        <v>640064</v>
      </c>
      <c r="E7" s="361">
        <f t="shared" si="0"/>
        <v>1424798</v>
      </c>
      <c r="F7" s="350"/>
      <c r="G7" s="348">
        <v>347735</v>
      </c>
      <c r="H7" s="349">
        <v>284511</v>
      </c>
      <c r="I7" s="381">
        <f>SUM(G7:H7)</f>
        <v>632246</v>
      </c>
      <c r="J7" s="381"/>
      <c r="K7" s="632">
        <f t="shared" si="2"/>
        <v>443.12467664202137</v>
      </c>
      <c r="L7" s="632">
        <f t="shared" si="2"/>
        <v>444.50398710128985</v>
      </c>
      <c r="M7" s="632">
        <f t="shared" si="2"/>
        <v>443.74430621042421</v>
      </c>
      <c r="N7" s="350">
        <v>0</v>
      </c>
      <c r="O7" s="630">
        <f t="shared" si="3"/>
        <v>396.40689128507495</v>
      </c>
      <c r="P7" s="716">
        <v>632246</v>
      </c>
      <c r="Q7" s="752">
        <v>0</v>
      </c>
      <c r="R7" s="718">
        <f t="shared" si="1"/>
        <v>632246</v>
      </c>
      <c r="S7" s="757">
        <f t="shared" si="4"/>
        <v>396.40689128507495</v>
      </c>
      <c r="T7" s="717">
        <f t="shared" ref="T7:T21" si="5">S7/R7*1000</f>
        <v>0.6269820469960663</v>
      </c>
    </row>
    <row r="8" spans="1:20" s="345" customFormat="1" ht="21" customHeight="1">
      <c r="A8" s="346" t="s">
        <v>448</v>
      </c>
      <c r="B8" s="361">
        <f>'[1]19'!D8:D23</f>
        <v>1725914</v>
      </c>
      <c r="C8" s="350">
        <f>'[1]19'!F8:F23</f>
        <v>776913</v>
      </c>
      <c r="D8" s="350">
        <f>'[1]19'!G8:G23</f>
        <v>603874</v>
      </c>
      <c r="E8" s="350">
        <f t="shared" si="0"/>
        <v>1380787</v>
      </c>
      <c r="F8" s="350"/>
      <c r="G8" s="348">
        <v>18825</v>
      </c>
      <c r="H8" s="349">
        <v>23009</v>
      </c>
      <c r="I8" s="631">
        <f>SUM(G8:H8)</f>
        <v>41834</v>
      </c>
      <c r="J8" s="381"/>
      <c r="K8" s="632">
        <f t="shared" si="2"/>
        <v>24.230512296743651</v>
      </c>
      <c r="L8" s="632">
        <f t="shared" si="2"/>
        <v>38.102319358011769</v>
      </c>
      <c r="M8" s="632">
        <f t="shared" si="2"/>
        <v>30.297214559522939</v>
      </c>
      <c r="N8" s="361">
        <v>0</v>
      </c>
      <c r="O8" s="630">
        <f t="shared" si="3"/>
        <v>24.238751177636892</v>
      </c>
      <c r="P8" s="716">
        <v>41834</v>
      </c>
      <c r="Q8" s="752">
        <v>0</v>
      </c>
      <c r="R8" s="718">
        <f t="shared" si="1"/>
        <v>41834</v>
      </c>
      <c r="S8" s="757">
        <f t="shared" si="4"/>
        <v>24.238751177636892</v>
      </c>
      <c r="T8" s="717">
        <f t="shared" si="5"/>
        <v>0.57940314523203362</v>
      </c>
    </row>
    <row r="9" spans="1:20" s="345" customFormat="1" ht="21" customHeight="1">
      <c r="A9" s="355" t="s">
        <v>117</v>
      </c>
      <c r="B9" s="361">
        <f>'[1]19'!D9:D24</f>
        <v>5838251</v>
      </c>
      <c r="C9" s="350">
        <f>'[1]19'!F9:F24</f>
        <v>5838251</v>
      </c>
      <c r="D9" s="350">
        <f>'[1]19'!G9:G24</f>
        <v>0</v>
      </c>
      <c r="E9" s="361">
        <f t="shared" si="0"/>
        <v>5838251</v>
      </c>
      <c r="F9" s="350"/>
      <c r="G9" s="348">
        <v>2902205</v>
      </c>
      <c r="H9" s="349">
        <v>0</v>
      </c>
      <c r="I9" s="381">
        <f t="shared" ref="I9:I18" si="6">SUM(G9:H9)</f>
        <v>2902205</v>
      </c>
      <c r="J9" s="381"/>
      <c r="K9" s="632">
        <f>G9/C9*1000</f>
        <v>497.10178613423778</v>
      </c>
      <c r="L9" s="632">
        <v>0</v>
      </c>
      <c r="M9" s="632">
        <f t="shared" si="2"/>
        <v>497.10178613423778</v>
      </c>
      <c r="N9" s="350">
        <v>0</v>
      </c>
      <c r="O9" s="630">
        <f t="shared" si="3"/>
        <v>497.10178613423778</v>
      </c>
      <c r="P9" s="716">
        <v>2902205</v>
      </c>
      <c r="Q9" s="752">
        <v>0</v>
      </c>
      <c r="R9" s="717">
        <f t="shared" si="1"/>
        <v>2902205</v>
      </c>
      <c r="S9" s="757">
        <f t="shared" si="4"/>
        <v>497.10178613423778</v>
      </c>
      <c r="T9" s="717">
        <f t="shared" si="5"/>
        <v>0.17128417397607604</v>
      </c>
    </row>
    <row r="10" spans="1:20" s="345" customFormat="1" ht="21" customHeight="1">
      <c r="A10" s="355" t="s">
        <v>108</v>
      </c>
      <c r="B10" s="361">
        <f>'[1]19'!D10:D25</f>
        <v>2078596</v>
      </c>
      <c r="C10" s="350">
        <f>'[1]19'!F10:F25</f>
        <v>653000</v>
      </c>
      <c r="D10" s="350">
        <f>'[1]19'!G10:G25</f>
        <v>396105</v>
      </c>
      <c r="E10" s="361">
        <f t="shared" si="0"/>
        <v>1049105</v>
      </c>
      <c r="F10" s="350"/>
      <c r="G10" s="348">
        <v>240103</v>
      </c>
      <c r="H10" s="349">
        <v>445905</v>
      </c>
      <c r="I10" s="381">
        <f t="shared" si="6"/>
        <v>686008</v>
      </c>
      <c r="J10" s="381"/>
      <c r="K10" s="632">
        <f t="shared" si="2"/>
        <v>367.69218989280245</v>
      </c>
      <c r="L10" s="631">
        <f t="shared" si="2"/>
        <v>1125.7242397849054</v>
      </c>
      <c r="M10" s="632">
        <f t="shared" si="2"/>
        <v>653.89832285614875</v>
      </c>
      <c r="N10" s="350">
        <v>0</v>
      </c>
      <c r="O10" s="630">
        <f t="shared" si="3"/>
        <v>330.03431162188326</v>
      </c>
      <c r="P10" s="716">
        <v>686008</v>
      </c>
      <c r="Q10" s="752">
        <v>0</v>
      </c>
      <c r="R10" s="718">
        <f t="shared" si="1"/>
        <v>686008</v>
      </c>
      <c r="S10" s="757">
        <f t="shared" si="4"/>
        <v>330.03431162188326</v>
      </c>
      <c r="T10" s="717">
        <f t="shared" si="5"/>
        <v>0.48109396919843977</v>
      </c>
    </row>
    <row r="11" spans="1:20" s="345" customFormat="1" ht="21" customHeight="1">
      <c r="A11" s="355" t="s">
        <v>110</v>
      </c>
      <c r="B11" s="361">
        <f>'[1]19'!D11:D26</f>
        <v>2011706</v>
      </c>
      <c r="C11" s="350">
        <f>'[1]19'!F11:F26</f>
        <v>776910</v>
      </c>
      <c r="D11" s="350">
        <f>'[1]19'!G11:G26</f>
        <v>593124</v>
      </c>
      <c r="E11" s="361">
        <f t="shared" si="0"/>
        <v>1370034</v>
      </c>
      <c r="F11" s="361"/>
      <c r="G11" s="494">
        <v>364356</v>
      </c>
      <c r="H11" s="494">
        <v>171462</v>
      </c>
      <c r="I11" s="495">
        <f t="shared" si="6"/>
        <v>535818</v>
      </c>
      <c r="J11" s="495"/>
      <c r="K11" s="632">
        <f t="shared" si="2"/>
        <v>468.98096304591263</v>
      </c>
      <c r="L11" s="632">
        <f t="shared" si="2"/>
        <v>289.08288991846558</v>
      </c>
      <c r="M11" s="632">
        <f t="shared" si="2"/>
        <v>391.09832310730974</v>
      </c>
      <c r="N11" s="361">
        <v>17856</v>
      </c>
      <c r="O11" s="630">
        <f t="shared" si="3"/>
        <v>275.22610162717615</v>
      </c>
      <c r="P11" s="716">
        <v>535818</v>
      </c>
      <c r="Q11" s="717">
        <v>17856</v>
      </c>
      <c r="R11" s="717">
        <f t="shared" si="1"/>
        <v>553674</v>
      </c>
      <c r="S11" s="757">
        <f>R11/B11*1000</f>
        <v>275.22610162717615</v>
      </c>
      <c r="T11" s="717">
        <f t="shared" si="5"/>
        <v>0.49709052913298468</v>
      </c>
    </row>
    <row r="12" spans="1:20" s="345" customFormat="1" ht="21" customHeight="1">
      <c r="A12" s="355" t="s">
        <v>102</v>
      </c>
      <c r="B12" s="361">
        <f>'[1]19'!D12:D27</f>
        <v>1187245</v>
      </c>
      <c r="C12" s="350">
        <f>'[1]19'!F12:F27</f>
        <v>762063</v>
      </c>
      <c r="D12" s="350">
        <f>'[1]19'!G12:G27</f>
        <v>338349</v>
      </c>
      <c r="E12" s="357">
        <f t="shared" si="0"/>
        <v>1100412</v>
      </c>
      <c r="F12" s="357"/>
      <c r="G12" s="348">
        <v>256936</v>
      </c>
      <c r="H12" s="349">
        <v>171291</v>
      </c>
      <c r="I12" s="381">
        <f t="shared" si="6"/>
        <v>428227</v>
      </c>
      <c r="J12" s="381"/>
      <c r="K12" s="632">
        <f>G12/C12*1000</f>
        <v>337.15847639893286</v>
      </c>
      <c r="L12" s="632">
        <f t="shared" si="2"/>
        <v>506.25537536685493</v>
      </c>
      <c r="M12" s="632">
        <f t="shared" si="2"/>
        <v>389.1515177951531</v>
      </c>
      <c r="N12" s="357">
        <v>0</v>
      </c>
      <c r="O12" s="630">
        <f t="shared" si="3"/>
        <v>360.68966388571863</v>
      </c>
      <c r="P12" s="716">
        <v>428227</v>
      </c>
      <c r="Q12" s="752">
        <v>0</v>
      </c>
      <c r="R12" s="717">
        <f t="shared" si="1"/>
        <v>428227</v>
      </c>
      <c r="S12" s="757">
        <f t="shared" si="4"/>
        <v>360.68966388571863</v>
      </c>
      <c r="T12" s="717">
        <f t="shared" si="5"/>
        <v>0.84228613302224908</v>
      </c>
    </row>
    <row r="13" spans="1:20" s="358" customFormat="1" ht="21" customHeight="1">
      <c r="A13" s="355" t="s">
        <v>109</v>
      </c>
      <c r="B13" s="361">
        <f>'[1]19'!D13:D28</f>
        <v>1343125</v>
      </c>
      <c r="C13" s="350">
        <f>'[1]19'!F13:F28</f>
        <v>727523</v>
      </c>
      <c r="D13" s="350">
        <f>'[1]19'!G13:G28</f>
        <v>347598</v>
      </c>
      <c r="E13" s="350">
        <f t="shared" si="0"/>
        <v>1075121</v>
      </c>
      <c r="F13" s="350"/>
      <c r="G13" s="348">
        <v>350768</v>
      </c>
      <c r="H13" s="349">
        <v>188875</v>
      </c>
      <c r="I13" s="381">
        <f t="shared" si="6"/>
        <v>539643</v>
      </c>
      <c r="J13" s="381"/>
      <c r="K13" s="632">
        <f t="shared" si="2"/>
        <v>482.14008354375051</v>
      </c>
      <c r="L13" s="632">
        <f t="shared" si="2"/>
        <v>543.37194115040938</v>
      </c>
      <c r="M13" s="632">
        <f t="shared" si="2"/>
        <v>501.93699127819104</v>
      </c>
      <c r="N13" s="350">
        <v>240</v>
      </c>
      <c r="O13" s="630">
        <f t="shared" si="3"/>
        <v>401.96035365286184</v>
      </c>
      <c r="P13" s="716">
        <v>539643</v>
      </c>
      <c r="Q13" s="717">
        <v>240</v>
      </c>
      <c r="R13" s="720">
        <f t="shared" si="1"/>
        <v>539883</v>
      </c>
      <c r="S13" s="757">
        <f t="shared" si="4"/>
        <v>401.96035365286184</v>
      </c>
      <c r="T13" s="717">
        <f t="shared" si="5"/>
        <v>0.7445323406235459</v>
      </c>
    </row>
    <row r="14" spans="1:20" s="358" customFormat="1" ht="21" customHeight="1">
      <c r="A14" s="359" t="s">
        <v>107</v>
      </c>
      <c r="B14" s="361">
        <f>'[1]19'!D14:D29</f>
        <v>1554037</v>
      </c>
      <c r="C14" s="350">
        <f>'[1]19'!F14:F29</f>
        <v>504547</v>
      </c>
      <c r="D14" s="350">
        <f>'[1]19'!G14:G29</f>
        <v>477835</v>
      </c>
      <c r="E14" s="350">
        <f t="shared" si="0"/>
        <v>982382</v>
      </c>
      <c r="G14" s="348">
        <v>46451</v>
      </c>
      <c r="H14" s="349">
        <v>44629</v>
      </c>
      <c r="I14" s="381">
        <f t="shared" si="6"/>
        <v>91080</v>
      </c>
      <c r="K14" s="632">
        <f t="shared" si="2"/>
        <v>92.064763044869949</v>
      </c>
      <c r="L14" s="632">
        <f t="shared" si="2"/>
        <v>93.398348802410879</v>
      </c>
      <c r="M14" s="632">
        <f t="shared" si="2"/>
        <v>92.713425123831669</v>
      </c>
      <c r="N14" s="361">
        <v>234389</v>
      </c>
      <c r="O14" s="630">
        <f t="shared" si="3"/>
        <v>209.43452440321565</v>
      </c>
      <c r="P14" s="716">
        <v>91080</v>
      </c>
      <c r="Q14" s="717">
        <v>234389</v>
      </c>
      <c r="R14" s="721">
        <f t="shared" si="1"/>
        <v>325469</v>
      </c>
      <c r="S14" s="757">
        <f t="shared" si="4"/>
        <v>209.43452440321565</v>
      </c>
      <c r="T14" s="717">
        <f t="shared" si="5"/>
        <v>0.64348532242153833</v>
      </c>
    </row>
    <row r="15" spans="1:20" s="358" customFormat="1" ht="21" customHeight="1">
      <c r="A15" s="359" t="s">
        <v>111</v>
      </c>
      <c r="B15" s="361">
        <f>'[1]19'!D15:D30</f>
        <v>1433583</v>
      </c>
      <c r="C15" s="350">
        <f>'[1]19'!F15:F30</f>
        <v>1003342</v>
      </c>
      <c r="D15" s="350">
        <f>'[1]19'!G15:G30</f>
        <v>336007</v>
      </c>
      <c r="E15" s="361">
        <f t="shared" si="0"/>
        <v>1339349</v>
      </c>
      <c r="F15" s="361"/>
      <c r="G15" s="348">
        <v>346480</v>
      </c>
      <c r="H15" s="349">
        <v>148491</v>
      </c>
      <c r="I15" s="381">
        <f t="shared" si="6"/>
        <v>494971</v>
      </c>
      <c r="J15" s="381"/>
      <c r="K15" s="632">
        <f t="shared" si="2"/>
        <v>345.32592077277735</v>
      </c>
      <c r="L15" s="632">
        <f t="shared" si="2"/>
        <v>441.92829316055912</v>
      </c>
      <c r="M15" s="632">
        <f t="shared" si="2"/>
        <v>369.56088368304302</v>
      </c>
      <c r="N15" s="361">
        <v>3000</v>
      </c>
      <c r="O15" s="630">
        <f t="shared" si="3"/>
        <v>347.36112244634597</v>
      </c>
      <c r="P15" s="716">
        <v>494971</v>
      </c>
      <c r="Q15" s="717">
        <v>3000</v>
      </c>
      <c r="R15" s="720">
        <f t="shared" si="1"/>
        <v>497971</v>
      </c>
      <c r="S15" s="757">
        <f t="shared" si="4"/>
        <v>347.36112244634597</v>
      </c>
      <c r="T15" s="717">
        <f t="shared" si="5"/>
        <v>0.69755291462022073</v>
      </c>
    </row>
    <row r="16" spans="1:20" s="358" customFormat="1" ht="21" customHeight="1">
      <c r="A16" s="359" t="s">
        <v>112</v>
      </c>
      <c r="B16" s="361">
        <f>'[1]19'!D16:D31</f>
        <v>1257689</v>
      </c>
      <c r="C16" s="350">
        <f>'[1]19'!F16:F31</f>
        <v>583597</v>
      </c>
      <c r="D16" s="350">
        <f>'[1]19'!G16:G31</f>
        <v>333063</v>
      </c>
      <c r="E16" s="361">
        <f t="shared" si="0"/>
        <v>916660</v>
      </c>
      <c r="F16" s="361"/>
      <c r="G16" s="348">
        <v>187364</v>
      </c>
      <c r="H16" s="349">
        <v>124909</v>
      </c>
      <c r="I16" s="381">
        <f t="shared" si="6"/>
        <v>312273</v>
      </c>
      <c r="J16" s="381"/>
      <c r="K16" s="632">
        <f>G16/C16*1000</f>
        <v>321.05031382957759</v>
      </c>
      <c r="L16" s="632">
        <f t="shared" si="2"/>
        <v>375.03115026286315</v>
      </c>
      <c r="M16" s="632">
        <f t="shared" si="2"/>
        <v>340.66393210132441</v>
      </c>
      <c r="N16" s="361">
        <v>17584</v>
      </c>
      <c r="O16" s="630">
        <f t="shared" si="3"/>
        <v>262.27231056326326</v>
      </c>
      <c r="P16" s="716">
        <v>312273</v>
      </c>
      <c r="Q16" s="717">
        <v>17584</v>
      </c>
      <c r="R16" s="720">
        <f t="shared" si="1"/>
        <v>329857</v>
      </c>
      <c r="S16" s="757">
        <f t="shared" si="4"/>
        <v>262.27231056326326</v>
      </c>
      <c r="T16" s="717">
        <f t="shared" si="5"/>
        <v>0.7951091247518266</v>
      </c>
    </row>
    <row r="17" spans="1:20" s="358" customFormat="1" ht="21" customHeight="1">
      <c r="A17" s="359" t="s">
        <v>113</v>
      </c>
      <c r="B17" s="361">
        <f>'[1]19'!D17:D32</f>
        <v>793343</v>
      </c>
      <c r="C17" s="350">
        <f>'[1]19'!F17:F32</f>
        <v>320657</v>
      </c>
      <c r="D17" s="350">
        <f>'[1]19'!G17:G32</f>
        <v>285816</v>
      </c>
      <c r="E17" s="361">
        <f t="shared" si="0"/>
        <v>606473</v>
      </c>
      <c r="F17" s="361"/>
      <c r="G17" s="348">
        <v>127911</v>
      </c>
      <c r="H17" s="349">
        <v>31978</v>
      </c>
      <c r="I17" s="381">
        <f t="shared" si="6"/>
        <v>159889</v>
      </c>
      <c r="J17" s="381"/>
      <c r="K17" s="632">
        <f t="shared" si="2"/>
        <v>398.90287752957209</v>
      </c>
      <c r="L17" s="632">
        <f t="shared" si="2"/>
        <v>111.88316959162538</v>
      </c>
      <c r="M17" s="632">
        <f t="shared" si="2"/>
        <v>263.63745789177756</v>
      </c>
      <c r="N17" s="361">
        <v>0</v>
      </c>
      <c r="O17" s="630">
        <f t="shared" si="3"/>
        <v>201.53830058373237</v>
      </c>
      <c r="P17" s="716">
        <v>159889</v>
      </c>
      <c r="Q17" s="752">
        <v>0</v>
      </c>
      <c r="R17" s="722">
        <f t="shared" si="1"/>
        <v>159889</v>
      </c>
      <c r="S17" s="757">
        <f t="shared" si="4"/>
        <v>201.53830058373237</v>
      </c>
      <c r="T17" s="717">
        <f t="shared" si="5"/>
        <v>1.2604888427830081</v>
      </c>
    </row>
    <row r="18" spans="1:20" s="358" customFormat="1" ht="21" customHeight="1">
      <c r="A18" s="359" t="s">
        <v>114</v>
      </c>
      <c r="B18" s="361">
        <f>'[1]19'!D18:D33</f>
        <v>2041066</v>
      </c>
      <c r="C18" s="350">
        <f>'[1]19'!F18:F33</f>
        <v>917053</v>
      </c>
      <c r="D18" s="350">
        <f>'[1]19'!G18:G33</f>
        <v>570172</v>
      </c>
      <c r="E18" s="361">
        <f t="shared" si="0"/>
        <v>1487225</v>
      </c>
      <c r="F18" s="361"/>
      <c r="G18" s="348">
        <v>445185</v>
      </c>
      <c r="H18" s="349">
        <v>78562</v>
      </c>
      <c r="I18" s="381">
        <f t="shared" si="6"/>
        <v>523747</v>
      </c>
      <c r="J18" s="381"/>
      <c r="K18" s="632">
        <f t="shared" si="2"/>
        <v>485.45176778223288</v>
      </c>
      <c r="L18" s="632">
        <f t="shared" si="2"/>
        <v>137.78649249700089</v>
      </c>
      <c r="M18" s="632">
        <f t="shared" si="2"/>
        <v>352.1639294659517</v>
      </c>
      <c r="N18" s="361">
        <v>46668</v>
      </c>
      <c r="O18" s="630">
        <f t="shared" si="3"/>
        <v>279.46915974299702</v>
      </c>
      <c r="P18" s="716">
        <v>523747</v>
      </c>
      <c r="Q18" s="361">
        <v>46668</v>
      </c>
      <c r="R18" s="722">
        <f t="shared" si="1"/>
        <v>570415</v>
      </c>
      <c r="S18" s="757">
        <f t="shared" si="4"/>
        <v>279.46915974299702</v>
      </c>
      <c r="T18" s="717">
        <f t="shared" si="5"/>
        <v>0.48994006073296986</v>
      </c>
    </row>
    <row r="19" spans="1:20" s="358" customFormat="1" ht="21" customHeight="1">
      <c r="A19" s="359" t="s">
        <v>115</v>
      </c>
      <c r="B19" s="361">
        <f>'[1]19'!D19:D34</f>
        <v>1083937</v>
      </c>
      <c r="C19" s="350">
        <f>'[1]19'!F19:F34</f>
        <v>736578</v>
      </c>
      <c r="D19" s="350">
        <f>'[1]19'!G19:G34</f>
        <v>249312</v>
      </c>
      <c r="E19" s="361">
        <f t="shared" si="0"/>
        <v>985890</v>
      </c>
      <c r="F19" s="361"/>
      <c r="G19" s="348">
        <v>296305</v>
      </c>
      <c r="H19" s="349">
        <v>109592</v>
      </c>
      <c r="I19" s="381">
        <f>SUM(G19:H19)</f>
        <v>405897</v>
      </c>
      <c r="J19" s="381"/>
      <c r="K19" s="632">
        <f>G19/C19*1000</f>
        <v>402.27240020744574</v>
      </c>
      <c r="L19" s="632">
        <f t="shared" si="2"/>
        <v>439.57771787960462</v>
      </c>
      <c r="M19" s="632">
        <f t="shared" si="2"/>
        <v>411.70617411678791</v>
      </c>
      <c r="N19" s="361">
        <v>2631</v>
      </c>
      <c r="O19" s="630">
        <f t="shared" si="3"/>
        <v>376.89275299210198</v>
      </c>
      <c r="P19" s="716">
        <v>405897</v>
      </c>
      <c r="Q19" s="717">
        <v>2631</v>
      </c>
      <c r="R19" s="720">
        <f t="shared" si="1"/>
        <v>408528</v>
      </c>
      <c r="S19" s="757">
        <f t="shared" si="4"/>
        <v>376.89275299210198</v>
      </c>
      <c r="T19" s="717">
        <f t="shared" si="5"/>
        <v>0.922562842674436</v>
      </c>
    </row>
    <row r="20" spans="1:20" s="358" customFormat="1" ht="21" customHeight="1" thickBot="1">
      <c r="A20" s="362" t="s">
        <v>116</v>
      </c>
      <c r="B20" s="361">
        <f>'[1]19'!D20:D35</f>
        <v>2833375</v>
      </c>
      <c r="C20" s="350">
        <f>'[1]19'!F20:F35</f>
        <v>2071000</v>
      </c>
      <c r="D20" s="350">
        <f>'[1]19'!G20:G35</f>
        <v>479038</v>
      </c>
      <c r="E20" s="357">
        <f t="shared" si="0"/>
        <v>2550038</v>
      </c>
      <c r="F20" s="357"/>
      <c r="G20" s="348">
        <v>943918</v>
      </c>
      <c r="H20" s="349">
        <v>193333</v>
      </c>
      <c r="I20" s="381">
        <f>SUM(G20:H20)</f>
        <v>1137251</v>
      </c>
      <c r="J20" s="495"/>
      <c r="K20" s="632">
        <f t="shared" si="2"/>
        <v>455.77885079671654</v>
      </c>
      <c r="L20" s="632">
        <f t="shared" si="2"/>
        <v>403.58593681503345</v>
      </c>
      <c r="M20" s="632">
        <f t="shared" si="2"/>
        <v>445.97413842460389</v>
      </c>
      <c r="N20" s="357">
        <v>0</v>
      </c>
      <c r="O20" s="630">
        <f t="shared" si="3"/>
        <v>401.37680328230471</v>
      </c>
      <c r="P20" s="716">
        <v>1137251</v>
      </c>
      <c r="Q20" s="752">
        <v>0</v>
      </c>
      <c r="R20" s="723">
        <f t="shared" si="1"/>
        <v>1137251</v>
      </c>
      <c r="S20" s="757">
        <f t="shared" si="4"/>
        <v>401.37680328230471</v>
      </c>
      <c r="T20" s="717">
        <f t="shared" si="5"/>
        <v>0.35293598623549655</v>
      </c>
    </row>
    <row r="21" spans="1:20" s="345" customFormat="1" ht="21" customHeight="1" thickTop="1" thickBot="1">
      <c r="A21" s="374" t="s">
        <v>410</v>
      </c>
      <c r="B21" s="442">
        <f>SUM(B5:B20)</f>
        <v>31967075</v>
      </c>
      <c r="C21" s="377">
        <f>SUM(C5:C20)</f>
        <v>19608054.439999998</v>
      </c>
      <c r="D21" s="377">
        <f>SUM(D5:D20)</f>
        <v>7059955.1299999999</v>
      </c>
      <c r="E21" s="377">
        <f>SUM(E5:E20)</f>
        <v>26668009</v>
      </c>
      <c r="F21" s="377"/>
      <c r="G21" s="377">
        <f>SUM(G5:G20)</f>
        <v>7843750</v>
      </c>
      <c r="H21" s="377">
        <f>SUM(H5:H20)</f>
        <v>2270788</v>
      </c>
      <c r="I21" s="377">
        <f>SUM(I5:I20)</f>
        <v>10114538</v>
      </c>
      <c r="J21" s="377"/>
      <c r="K21" s="542">
        <f t="shared" si="2"/>
        <v>400.02693913369211</v>
      </c>
      <c r="L21" s="542">
        <f t="shared" si="2"/>
        <v>321.64340398577008</v>
      </c>
      <c r="M21" s="542">
        <f t="shared" si="2"/>
        <v>379.27608319016241</v>
      </c>
      <c r="N21" s="897">
        <f>SUM(N5:N20)</f>
        <v>322868</v>
      </c>
      <c r="O21" s="542">
        <f t="shared" si="3"/>
        <v>326.5048804121115</v>
      </c>
      <c r="P21" s="716">
        <f>SUM(P5:P20)</f>
        <v>10114538</v>
      </c>
      <c r="Q21" s="717">
        <v>322868</v>
      </c>
      <c r="R21" s="717">
        <f t="shared" si="1"/>
        <v>10437406</v>
      </c>
      <c r="S21" s="757">
        <f t="shared" si="4"/>
        <v>326.5048804121115</v>
      </c>
      <c r="T21" s="717">
        <f t="shared" si="5"/>
        <v>3.1282186437138836E-2</v>
      </c>
    </row>
    <row r="22" spans="1:20" s="345" customFormat="1" ht="21" customHeight="1" thickTop="1">
      <c r="A22" s="1053" t="s">
        <v>359</v>
      </c>
      <c r="B22" s="1053"/>
      <c r="C22" s="1053"/>
      <c r="D22" s="1053"/>
      <c r="E22" s="1053"/>
      <c r="F22" s="1053"/>
      <c r="G22" s="1053"/>
      <c r="H22" s="1053"/>
      <c r="I22" s="1053"/>
      <c r="J22" s="893"/>
      <c r="K22" s="371"/>
      <c r="L22" s="371"/>
      <c r="M22" s="371"/>
      <c r="N22" s="371"/>
      <c r="O22" s="351"/>
      <c r="P22" s="724"/>
      <c r="Q22" s="717"/>
      <c r="R22" s="719"/>
      <c r="S22" s="719"/>
      <c r="T22" s="719"/>
    </row>
    <row r="23" spans="1:20" s="345" customFormat="1" ht="18" customHeight="1">
      <c r="A23" s="1047"/>
      <c r="B23" s="1047"/>
      <c r="C23" s="1047"/>
      <c r="D23" s="1047"/>
      <c r="E23" s="1047"/>
      <c r="F23" s="635"/>
      <c r="G23" s="635"/>
      <c r="H23" s="742"/>
      <c r="I23"/>
      <c r="J23"/>
      <c r="K23" s="364"/>
      <c r="L23" s="352"/>
      <c r="M23" s="351"/>
      <c r="N23" s="351"/>
      <c r="P23" s="719"/>
      <c r="Q23" s="719"/>
      <c r="R23" s="719"/>
      <c r="S23" s="719"/>
      <c r="T23" s="719"/>
    </row>
    <row r="24" spans="1:20" s="345" customFormat="1" ht="21" customHeight="1">
      <c r="A24" s="956" t="s">
        <v>431</v>
      </c>
      <c r="B24" s="956"/>
      <c r="C24" s="956"/>
      <c r="D24" s="956"/>
      <c r="E24" s="956"/>
      <c r="F24" s="956"/>
      <c r="G24" s="956"/>
      <c r="H24" s="956"/>
      <c r="I24" s="956"/>
      <c r="J24" s="956"/>
      <c r="K24" s="956"/>
      <c r="L24" s="956"/>
      <c r="M24" s="956"/>
      <c r="N24" s="956"/>
      <c r="O24" s="351"/>
      <c r="P24" s="719"/>
      <c r="Q24" s="719"/>
      <c r="R24" s="719"/>
      <c r="S24" s="719"/>
      <c r="T24" s="719"/>
    </row>
    <row r="25" spans="1:20" s="345" customFormat="1" ht="21" customHeight="1" thickBot="1">
      <c r="A25" s="961" t="s">
        <v>432</v>
      </c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351"/>
      <c r="P25" s="719"/>
      <c r="Q25" s="719"/>
      <c r="R25" s="719"/>
      <c r="S25" s="719"/>
      <c r="T25" s="719"/>
    </row>
    <row r="26" spans="1:20" ht="21" customHeight="1">
      <c r="A26" s="1027" t="s">
        <v>336</v>
      </c>
      <c r="B26" s="1027"/>
      <c r="C26" s="1027"/>
      <c r="D26" s="1027"/>
      <c r="E26" s="1027"/>
      <c r="F26" s="892"/>
      <c r="G26" s="428"/>
      <c r="H26" s="428"/>
      <c r="I26" s="428"/>
      <c r="J26" s="428"/>
      <c r="K26" s="428"/>
      <c r="L26" s="428"/>
      <c r="M26" s="428"/>
      <c r="N26" s="428"/>
      <c r="O26" s="471">
        <v>43</v>
      </c>
      <c r="P26" s="725"/>
      <c r="Q26" s="726"/>
      <c r="R26" s="715"/>
      <c r="S26" s="715"/>
      <c r="T26" s="715"/>
    </row>
    <row r="27" spans="1:20">
      <c r="O27" s="427"/>
      <c r="P27" s="427"/>
    </row>
    <row r="28" spans="1:20">
      <c r="O28" s="427"/>
      <c r="P28" s="427"/>
    </row>
    <row r="29" spans="1:20">
      <c r="O29" s="427"/>
      <c r="P29" s="427"/>
    </row>
    <row r="30" spans="1:20">
      <c r="G30" s="751">
        <v>1058558.44</v>
      </c>
      <c r="H30" s="751">
        <v>336989.13</v>
      </c>
      <c r="I30" s="751">
        <v>1395547.5699999998</v>
      </c>
      <c r="L30" s="753"/>
      <c r="O30" s="427"/>
      <c r="P30" s="427"/>
    </row>
    <row r="31" spans="1:20">
      <c r="G31" s="751">
        <v>784734</v>
      </c>
      <c r="H31" s="751">
        <v>640064.31999999995</v>
      </c>
      <c r="I31" s="751">
        <v>1424798.3199999998</v>
      </c>
      <c r="O31" s="427"/>
      <c r="P31" s="427"/>
    </row>
    <row r="32" spans="1:20">
      <c r="G32" s="751">
        <v>0</v>
      </c>
      <c r="H32" s="751">
        <v>0</v>
      </c>
      <c r="I32" s="751">
        <v>2820345.8899999997</v>
      </c>
      <c r="O32" s="427"/>
      <c r="P32" s="427"/>
    </row>
    <row r="33" spans="7:16">
      <c r="G33" s="751">
        <v>5838251</v>
      </c>
      <c r="H33" s="751">
        <v>0</v>
      </c>
      <c r="I33" s="751">
        <v>5838251</v>
      </c>
      <c r="O33" s="427"/>
      <c r="P33" s="427"/>
    </row>
    <row r="34" spans="7:16">
      <c r="G34" s="751">
        <v>653000.4</v>
      </c>
      <c r="H34" s="751">
        <v>396104.8</v>
      </c>
      <c r="I34" s="751">
        <v>1049105.2</v>
      </c>
      <c r="O34" s="427"/>
      <c r="P34" s="427"/>
    </row>
    <row r="35" spans="7:16">
      <c r="G35" s="751">
        <v>776909.6</v>
      </c>
      <c r="H35" s="751">
        <v>593124.32999999996</v>
      </c>
      <c r="I35" s="751">
        <v>6887356.2000000002</v>
      </c>
      <c r="O35" s="427"/>
      <c r="P35" s="427"/>
    </row>
    <row r="36" spans="7:16">
      <c r="G36" s="751">
        <v>762063.35999999999</v>
      </c>
      <c r="H36" s="751">
        <v>338348.94</v>
      </c>
      <c r="I36" s="751">
        <v>1100412.3</v>
      </c>
      <c r="O36" s="427"/>
      <c r="P36" s="427"/>
    </row>
    <row r="37" spans="7:16">
      <c r="G37" s="751">
        <v>727523.1</v>
      </c>
      <c r="H37" s="751">
        <v>347597.9</v>
      </c>
      <c r="I37" s="751">
        <v>1075121</v>
      </c>
      <c r="O37" s="427"/>
      <c r="P37" s="427"/>
    </row>
    <row r="38" spans="7:16">
      <c r="G38" s="751">
        <v>504547.2</v>
      </c>
      <c r="H38" s="751">
        <v>477835.12</v>
      </c>
      <c r="I38" s="751">
        <v>2175533.2999999998</v>
      </c>
      <c r="O38" s="427"/>
      <c r="P38" s="427"/>
    </row>
    <row r="39" spans="7:16">
      <c r="G39" s="751">
        <v>1003341.64</v>
      </c>
      <c r="H39" s="751">
        <v>336007.3</v>
      </c>
      <c r="I39" s="751">
        <v>1339348.94</v>
      </c>
      <c r="O39" s="427"/>
      <c r="P39" s="427"/>
    </row>
    <row r="40" spans="7:16">
      <c r="G40" s="751">
        <v>583596.9</v>
      </c>
      <c r="H40" s="751">
        <v>333063.38</v>
      </c>
      <c r="I40" s="751">
        <v>916660.28</v>
      </c>
      <c r="O40" s="427"/>
      <c r="P40" s="427"/>
    </row>
    <row r="41" spans="7:16">
      <c r="G41" s="751">
        <v>320657.21000000002</v>
      </c>
      <c r="H41" s="751">
        <v>285815.64</v>
      </c>
      <c r="I41" s="751">
        <v>2256009.2199999997</v>
      </c>
      <c r="O41" s="427"/>
      <c r="P41" s="427"/>
    </row>
    <row r="42" spans="7:16">
      <c r="G42" s="751">
        <v>0</v>
      </c>
      <c r="H42" s="751">
        <v>0</v>
      </c>
      <c r="I42" s="751">
        <v>0</v>
      </c>
      <c r="O42" s="427"/>
      <c r="P42" s="427"/>
    </row>
    <row r="43" spans="7:16">
      <c r="G43" s="751">
        <v>736577.76</v>
      </c>
      <c r="H43" s="751">
        <v>249311.92</v>
      </c>
      <c r="I43" s="751">
        <v>985889.68</v>
      </c>
      <c r="O43" s="427"/>
      <c r="P43" s="427"/>
    </row>
    <row r="44" spans="7:16">
      <c r="G44" s="751">
        <v>2070999.9</v>
      </c>
      <c r="H44" s="751">
        <v>479037.6</v>
      </c>
      <c r="I44" s="751">
        <v>985889.68</v>
      </c>
      <c r="O44" s="427"/>
      <c r="P44" s="427"/>
    </row>
    <row r="45" spans="7:16">
      <c r="G45" s="751">
        <v>15820760.51</v>
      </c>
      <c r="H45" s="751">
        <f>SUM(H30:H44)</f>
        <v>4813300.38</v>
      </c>
      <c r="I45" s="751">
        <v>20634060.890000001</v>
      </c>
      <c r="O45" s="427"/>
      <c r="P45" s="427"/>
    </row>
    <row r="46" spans="7:16">
      <c r="O46" s="427"/>
      <c r="P46" s="427"/>
    </row>
    <row r="47" spans="7:16">
      <c r="O47" s="427"/>
      <c r="P47" s="427"/>
    </row>
    <row r="48" spans="7:16">
      <c r="H48" s="751"/>
      <c r="O48" s="427"/>
      <c r="P48" s="427"/>
    </row>
    <row r="49" spans="15:16">
      <c r="O49" s="427"/>
      <c r="P49" s="427"/>
    </row>
    <row r="50" spans="15:16">
      <c r="O50" s="427"/>
      <c r="P50" s="427"/>
    </row>
    <row r="51" spans="15:16">
      <c r="O51" s="427"/>
      <c r="P51" s="427"/>
    </row>
    <row r="52" spans="15:16">
      <c r="O52" s="427"/>
      <c r="P52" s="427"/>
    </row>
  </sheetData>
  <mergeCells count="15">
    <mergeCell ref="A22:I22"/>
    <mergeCell ref="A26:E26"/>
    <mergeCell ref="A3:A4"/>
    <mergeCell ref="F3:F4"/>
    <mergeCell ref="G3:I3"/>
    <mergeCell ref="C3:E3"/>
    <mergeCell ref="A24:N24"/>
    <mergeCell ref="A25:N25"/>
    <mergeCell ref="A23:E23"/>
    <mergeCell ref="A1:O1"/>
    <mergeCell ref="A2:O2"/>
    <mergeCell ref="O3:O4"/>
    <mergeCell ref="B3:B4"/>
    <mergeCell ref="K3:M3"/>
    <mergeCell ref="N3:N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N25"/>
  <sheetViews>
    <sheetView rightToLeft="1" view="pageBreakPreview" zoomScale="110" zoomScaleSheetLayoutView="110" workbookViewId="0">
      <selection activeCell="H13" sqref="H13"/>
    </sheetView>
  </sheetViews>
  <sheetFormatPr defaultColWidth="10.375" defaultRowHeight="14.25"/>
  <cols>
    <col min="1" max="1" width="18.375" style="426" customWidth="1"/>
    <col min="2" max="4" width="16.875" style="426" customWidth="1"/>
    <col min="5" max="5" width="2" style="426" customWidth="1"/>
    <col min="6" max="8" width="16.875" style="426" customWidth="1"/>
    <col min="9" max="16384" width="10.375" style="426"/>
  </cols>
  <sheetData>
    <row r="1" spans="1:8" ht="21.75" customHeight="1">
      <c r="A1" s="1060" t="s">
        <v>476</v>
      </c>
      <c r="B1" s="1060"/>
      <c r="C1" s="1060"/>
      <c r="D1" s="1060"/>
      <c r="E1" s="1060"/>
      <c r="F1" s="1060"/>
      <c r="G1" s="1060"/>
      <c r="H1" s="1060"/>
    </row>
    <row r="2" spans="1:8" ht="21.75" customHeight="1" thickBot="1">
      <c r="A2" s="1061" t="s">
        <v>394</v>
      </c>
      <c r="B2" s="1061"/>
      <c r="C2" s="1061"/>
      <c r="D2" s="1061"/>
      <c r="E2" s="1061"/>
      <c r="F2" s="1061"/>
      <c r="G2" s="1061"/>
      <c r="H2" s="1061"/>
    </row>
    <row r="3" spans="1:8" ht="21.75" customHeight="1" thickTop="1">
      <c r="A3" s="1062" t="s">
        <v>103</v>
      </c>
      <c r="B3" s="1058" t="s">
        <v>8</v>
      </c>
      <c r="C3" s="1058"/>
      <c r="D3" s="1058"/>
      <c r="E3" s="1065"/>
      <c r="F3" s="1065" t="s">
        <v>388</v>
      </c>
      <c r="G3" s="1065"/>
      <c r="H3" s="1065"/>
    </row>
    <row r="4" spans="1:8" ht="21.75" customHeight="1">
      <c r="A4" s="1063"/>
      <c r="B4" s="425" t="s">
        <v>363</v>
      </c>
      <c r="C4" s="425" t="s">
        <v>119</v>
      </c>
      <c r="D4" s="425" t="s">
        <v>47</v>
      </c>
      <c r="E4" s="1066"/>
      <c r="F4" s="425" t="s">
        <v>363</v>
      </c>
      <c r="G4" s="425" t="s">
        <v>119</v>
      </c>
      <c r="H4" s="425" t="s">
        <v>47</v>
      </c>
    </row>
    <row r="5" spans="1:8" ht="21.75" customHeight="1">
      <c r="A5" s="336" t="s">
        <v>104</v>
      </c>
      <c r="B5" s="350">
        <f>'[1]19'!B5:B20</f>
        <v>2203503</v>
      </c>
      <c r="C5" s="350">
        <f>'[1]19'!C5:C20</f>
        <v>1430145</v>
      </c>
      <c r="D5" s="350">
        <f t="shared" ref="D5:D20" si="0">SUM(B5:C5)</f>
        <v>3633648</v>
      </c>
      <c r="E5" s="350"/>
      <c r="F5" s="348">
        <f>ROUND((B5*350/1000),0)</f>
        <v>771226</v>
      </c>
      <c r="G5" s="348">
        <f>ROUND((C5*250/1000),0)</f>
        <v>357536</v>
      </c>
      <c r="H5" s="631">
        <f t="shared" ref="H5:H20" si="1">SUM(F5:G5)</f>
        <v>1128762</v>
      </c>
    </row>
    <row r="6" spans="1:8" s="345" customFormat="1" ht="21.75" customHeight="1">
      <c r="A6" s="336" t="s">
        <v>105</v>
      </c>
      <c r="B6" s="350">
        <f>'[1]19'!B6:B21</f>
        <v>1150607</v>
      </c>
      <c r="C6" s="350">
        <f>'[1]19'!C6:C21</f>
        <v>406011</v>
      </c>
      <c r="D6" s="350">
        <f t="shared" si="0"/>
        <v>1556618</v>
      </c>
      <c r="E6" s="350"/>
      <c r="F6" s="348">
        <f t="shared" ref="F6:F20" si="2">ROUND((B6*350/1000),0)</f>
        <v>402712</v>
      </c>
      <c r="G6" s="348">
        <f t="shared" ref="G6:G20" si="3">ROUND((C6*250/1000),0)</f>
        <v>101503</v>
      </c>
      <c r="H6" s="381">
        <f t="shared" si="1"/>
        <v>504215</v>
      </c>
    </row>
    <row r="7" spans="1:8" s="345" customFormat="1" ht="21.75" customHeight="1">
      <c r="A7" s="346" t="s">
        <v>106</v>
      </c>
      <c r="B7" s="350">
        <f>'[1]19'!B7:B22</f>
        <v>784734</v>
      </c>
      <c r="C7" s="350">
        <f>'[1]19'!C7:C22</f>
        <v>810208</v>
      </c>
      <c r="D7" s="350">
        <f t="shared" si="0"/>
        <v>1594942</v>
      </c>
      <c r="E7" s="350"/>
      <c r="F7" s="348">
        <f t="shared" si="2"/>
        <v>274657</v>
      </c>
      <c r="G7" s="348">
        <f t="shared" si="3"/>
        <v>202552</v>
      </c>
      <c r="H7" s="381">
        <f t="shared" si="1"/>
        <v>477209</v>
      </c>
    </row>
    <row r="8" spans="1:8" s="345" customFormat="1" ht="21.75" customHeight="1">
      <c r="A8" s="346" t="s">
        <v>448</v>
      </c>
      <c r="B8" s="350">
        <f>'[1]19'!B8:B23</f>
        <v>863237</v>
      </c>
      <c r="C8" s="350">
        <f>'[1]19'!C8:C23</f>
        <v>862677</v>
      </c>
      <c r="D8" s="350">
        <f t="shared" si="0"/>
        <v>1725914</v>
      </c>
      <c r="E8" s="350"/>
      <c r="F8" s="348">
        <f t="shared" si="2"/>
        <v>302133</v>
      </c>
      <c r="G8" s="348">
        <f t="shared" si="3"/>
        <v>215669</v>
      </c>
      <c r="H8" s="631">
        <f t="shared" si="1"/>
        <v>517802</v>
      </c>
    </row>
    <row r="9" spans="1:8" s="345" customFormat="1" ht="21.75" customHeight="1">
      <c r="A9" s="355" t="s">
        <v>117</v>
      </c>
      <c r="B9" s="350">
        <f>'[1]19'!B9:B24</f>
        <v>5838251</v>
      </c>
      <c r="C9" s="350">
        <f>'[1]19'!C9:C24</f>
        <v>0</v>
      </c>
      <c r="D9" s="350">
        <f t="shared" si="0"/>
        <v>5838251</v>
      </c>
      <c r="E9" s="350"/>
      <c r="F9" s="348">
        <f t="shared" si="2"/>
        <v>2043388</v>
      </c>
      <c r="G9" s="348">
        <f t="shared" si="3"/>
        <v>0</v>
      </c>
      <c r="H9" s="381">
        <f t="shared" si="1"/>
        <v>2043388</v>
      </c>
    </row>
    <row r="10" spans="1:8" s="345" customFormat="1" ht="21.75" customHeight="1">
      <c r="A10" s="355" t="s">
        <v>108</v>
      </c>
      <c r="B10" s="350">
        <f>'[1]19'!B10:B25</f>
        <v>1088334</v>
      </c>
      <c r="C10" s="350">
        <f>'[1]19'!C10:C25</f>
        <v>990262</v>
      </c>
      <c r="D10" s="350">
        <f t="shared" si="0"/>
        <v>2078596</v>
      </c>
      <c r="E10" s="350"/>
      <c r="F10" s="348">
        <f t="shared" si="2"/>
        <v>380917</v>
      </c>
      <c r="G10" s="348">
        <f t="shared" si="3"/>
        <v>247566</v>
      </c>
      <c r="H10" s="381">
        <f t="shared" si="1"/>
        <v>628483</v>
      </c>
    </row>
    <row r="11" spans="1:8" s="345" customFormat="1" ht="21.75" customHeight="1">
      <c r="A11" s="355" t="s">
        <v>110</v>
      </c>
      <c r="B11" s="350">
        <f>'[1]19'!B11:B26</f>
        <v>971137</v>
      </c>
      <c r="C11" s="350">
        <f>'[1]19'!C11:C26</f>
        <v>1040569</v>
      </c>
      <c r="D11" s="357">
        <f t="shared" si="0"/>
        <v>2011706</v>
      </c>
      <c r="E11" s="350"/>
      <c r="F11" s="348">
        <f t="shared" si="2"/>
        <v>339898</v>
      </c>
      <c r="G11" s="348">
        <f t="shared" si="3"/>
        <v>260142</v>
      </c>
      <c r="H11" s="381">
        <f t="shared" si="1"/>
        <v>600040</v>
      </c>
    </row>
    <row r="12" spans="1:8" s="345" customFormat="1" ht="21.75" customHeight="1">
      <c r="A12" s="355" t="s">
        <v>102</v>
      </c>
      <c r="B12" s="350">
        <f>'[1]19'!B12:B27</f>
        <v>793816</v>
      </c>
      <c r="C12" s="350">
        <f>'[1]19'!C12:C27</f>
        <v>393429</v>
      </c>
      <c r="D12" s="357">
        <f t="shared" si="0"/>
        <v>1187245</v>
      </c>
      <c r="E12" s="357"/>
      <c r="F12" s="348">
        <f t="shared" si="2"/>
        <v>277836</v>
      </c>
      <c r="G12" s="348">
        <f t="shared" si="3"/>
        <v>98357</v>
      </c>
      <c r="H12" s="381">
        <f t="shared" si="1"/>
        <v>376193</v>
      </c>
    </row>
    <row r="13" spans="1:8" s="358" customFormat="1" ht="21.75" customHeight="1">
      <c r="A13" s="355" t="s">
        <v>109</v>
      </c>
      <c r="B13" s="350">
        <f>'[1]19'!B13:B28</f>
        <v>808359</v>
      </c>
      <c r="C13" s="350">
        <f>'[1]19'!C13:C28</f>
        <v>534766</v>
      </c>
      <c r="D13" s="350">
        <f t="shared" si="0"/>
        <v>1343125</v>
      </c>
      <c r="E13" s="350"/>
      <c r="F13" s="348">
        <f t="shared" si="2"/>
        <v>282926</v>
      </c>
      <c r="G13" s="348">
        <f t="shared" si="3"/>
        <v>133692</v>
      </c>
      <c r="H13" s="381">
        <f t="shared" si="1"/>
        <v>416618</v>
      </c>
    </row>
    <row r="14" spans="1:8" s="358" customFormat="1" ht="21.75" customHeight="1">
      <c r="A14" s="359" t="s">
        <v>107</v>
      </c>
      <c r="B14" s="350">
        <f>'[1]19'!B14:B29</f>
        <v>700760</v>
      </c>
      <c r="C14" s="350">
        <f>'[1]19'!C14:C29</f>
        <v>853277</v>
      </c>
      <c r="D14" s="350">
        <f t="shared" si="0"/>
        <v>1554037</v>
      </c>
      <c r="E14" s="361"/>
      <c r="F14" s="348">
        <f t="shared" si="2"/>
        <v>245266</v>
      </c>
      <c r="G14" s="348">
        <f t="shared" si="3"/>
        <v>213319</v>
      </c>
      <c r="H14" s="381">
        <f t="shared" si="1"/>
        <v>458585</v>
      </c>
    </row>
    <row r="15" spans="1:8" s="358" customFormat="1" ht="21.75" customHeight="1">
      <c r="A15" s="359" t="s">
        <v>111</v>
      </c>
      <c r="B15" s="350">
        <f>'[1]19'!B15:B30</f>
        <v>1023818</v>
      </c>
      <c r="C15" s="350">
        <f>'[1]19'!C15:C30</f>
        <v>409765</v>
      </c>
      <c r="D15" s="350">
        <f t="shared" si="0"/>
        <v>1433583</v>
      </c>
      <c r="E15" s="361"/>
      <c r="F15" s="348">
        <f t="shared" si="2"/>
        <v>358336</v>
      </c>
      <c r="G15" s="348">
        <f t="shared" si="3"/>
        <v>102441</v>
      </c>
      <c r="H15" s="381">
        <f t="shared" si="1"/>
        <v>460777</v>
      </c>
    </row>
    <row r="16" spans="1:8" s="358" customFormat="1" ht="21.75" customHeight="1">
      <c r="A16" s="359" t="s">
        <v>112</v>
      </c>
      <c r="B16" s="350">
        <f>'[1]19'!B16:B31</f>
        <v>720490</v>
      </c>
      <c r="C16" s="350">
        <f>'[1]19'!C16:C31</f>
        <v>537199</v>
      </c>
      <c r="D16" s="350">
        <f t="shared" si="0"/>
        <v>1257689</v>
      </c>
      <c r="E16" s="361"/>
      <c r="F16" s="348">
        <f t="shared" si="2"/>
        <v>252172</v>
      </c>
      <c r="G16" s="348">
        <f t="shared" si="3"/>
        <v>134300</v>
      </c>
      <c r="H16" s="381">
        <f t="shared" si="1"/>
        <v>386472</v>
      </c>
    </row>
    <row r="17" spans="1:14" s="358" customFormat="1" ht="21.75" customHeight="1">
      <c r="A17" s="359" t="s">
        <v>113</v>
      </c>
      <c r="B17" s="350">
        <f>'[1]19'!B17:B32</f>
        <v>360289</v>
      </c>
      <c r="C17" s="350">
        <f>'[1]19'!C17:C32</f>
        <v>433054</v>
      </c>
      <c r="D17" s="361">
        <f t="shared" si="0"/>
        <v>793343</v>
      </c>
      <c r="E17" s="361"/>
      <c r="F17" s="348">
        <f t="shared" si="2"/>
        <v>126101</v>
      </c>
      <c r="G17" s="348">
        <f t="shared" si="3"/>
        <v>108264</v>
      </c>
      <c r="H17" s="381">
        <f t="shared" si="1"/>
        <v>234365</v>
      </c>
    </row>
    <row r="18" spans="1:14" s="358" customFormat="1" ht="21.75" customHeight="1">
      <c r="A18" s="359" t="s">
        <v>114</v>
      </c>
      <c r="B18" s="350">
        <f>'[1]19'!B18:B33</f>
        <v>1310076</v>
      </c>
      <c r="C18" s="350">
        <f>'[1]19'!C18:C33</f>
        <v>730990</v>
      </c>
      <c r="D18" s="361">
        <f t="shared" si="0"/>
        <v>2041066</v>
      </c>
      <c r="E18" s="361"/>
      <c r="F18" s="348">
        <f t="shared" si="2"/>
        <v>458527</v>
      </c>
      <c r="G18" s="348">
        <f t="shared" si="3"/>
        <v>182748</v>
      </c>
      <c r="H18" s="381">
        <f t="shared" si="1"/>
        <v>641275</v>
      </c>
    </row>
    <row r="19" spans="1:14" s="358" customFormat="1" ht="21.75" customHeight="1">
      <c r="A19" s="359" t="s">
        <v>115</v>
      </c>
      <c r="B19" s="350">
        <f>'[1]19'!B19:B34</f>
        <v>800628</v>
      </c>
      <c r="C19" s="350">
        <f>'[1]19'!C19:C34</f>
        <v>283309</v>
      </c>
      <c r="D19" s="361">
        <f t="shared" si="0"/>
        <v>1083937</v>
      </c>
      <c r="E19" s="361"/>
      <c r="F19" s="348">
        <f t="shared" si="2"/>
        <v>280220</v>
      </c>
      <c r="G19" s="348">
        <f t="shared" si="3"/>
        <v>70827</v>
      </c>
      <c r="H19" s="381">
        <f t="shared" si="1"/>
        <v>351047</v>
      </c>
    </row>
    <row r="20" spans="1:14" s="358" customFormat="1" ht="21.75" customHeight="1" thickBot="1">
      <c r="A20" s="362" t="s">
        <v>116</v>
      </c>
      <c r="B20" s="350">
        <f>'[1]19'!B20:B35</f>
        <v>2301111</v>
      </c>
      <c r="C20" s="350">
        <f>'[1]19'!C20:C35</f>
        <v>532264</v>
      </c>
      <c r="D20" s="379">
        <f t="shared" si="0"/>
        <v>2833375</v>
      </c>
      <c r="E20" s="357"/>
      <c r="F20" s="348">
        <f t="shared" si="2"/>
        <v>805389</v>
      </c>
      <c r="G20" s="348">
        <f t="shared" si="3"/>
        <v>133066</v>
      </c>
      <c r="H20" s="381">
        <f t="shared" si="1"/>
        <v>938455</v>
      </c>
    </row>
    <row r="21" spans="1:14" s="345" customFormat="1" ht="21.75" customHeight="1" thickTop="1" thickBot="1">
      <c r="A21" s="374" t="s">
        <v>410</v>
      </c>
      <c r="B21" s="377">
        <f>SUM(B5:B20)</f>
        <v>21719150</v>
      </c>
      <c r="C21" s="377">
        <f>SUM(C5:C20)</f>
        <v>10247925</v>
      </c>
      <c r="D21" s="377">
        <f>SUM(B21:C21)</f>
        <v>31967075</v>
      </c>
      <c r="E21" s="377"/>
      <c r="F21" s="377">
        <f>SUM(F5:F20)</f>
        <v>7601704</v>
      </c>
      <c r="G21" s="377">
        <f>SUM(G5:G20)</f>
        <v>2561982</v>
      </c>
      <c r="H21" s="377">
        <f>SUM(H5:H20)</f>
        <v>10163686</v>
      </c>
      <c r="J21" s="898">
        <f>SUM(F5:F20)</f>
        <v>7601704</v>
      </c>
      <c r="K21" s="898">
        <f>SUM(G5:G20)</f>
        <v>2561982</v>
      </c>
    </row>
    <row r="22" spans="1:14" s="345" customFormat="1" ht="16.5" customHeight="1" thickTop="1">
      <c r="A22" s="1053" t="s">
        <v>359</v>
      </c>
      <c r="B22" s="1053"/>
      <c r="C22" s="1053"/>
      <c r="D22" s="1053"/>
      <c r="E22" s="1053"/>
      <c r="F22" s="1053"/>
      <c r="G22" s="1053"/>
      <c r="H22" s="1053"/>
    </row>
    <row r="23" spans="1:14" s="345" customFormat="1" ht="16.5" customHeight="1">
      <c r="A23" s="1047"/>
      <c r="B23" s="1047"/>
      <c r="C23" s="1047"/>
      <c r="D23" s="1047"/>
      <c r="E23" s="1047"/>
      <c r="F23" s="635"/>
      <c r="G23" s="635"/>
      <c r="H23"/>
      <c r="I23"/>
      <c r="J23"/>
      <c r="K23" s="364"/>
      <c r="L23" s="352"/>
      <c r="M23" s="351"/>
      <c r="N23" s="351"/>
    </row>
    <row r="24" spans="1:14" s="345" customFormat="1" ht="16.5" customHeight="1" thickBot="1">
      <c r="A24" s="368"/>
      <c r="B24" s="382"/>
      <c r="C24" s="382"/>
      <c r="D24" s="382"/>
      <c r="E24" s="382"/>
      <c r="F24" s="370"/>
      <c r="G24" s="370"/>
      <c r="H24" s="371"/>
    </row>
    <row r="25" spans="1:14" ht="16.5" customHeight="1">
      <c r="A25" s="1027" t="s">
        <v>336</v>
      </c>
      <c r="B25" s="1027"/>
      <c r="C25" s="1027"/>
      <c r="D25" s="1027"/>
      <c r="E25" s="892"/>
      <c r="F25" s="428"/>
      <c r="G25" s="428"/>
      <c r="H25" s="489">
        <v>44</v>
      </c>
    </row>
  </sheetData>
  <mergeCells count="9">
    <mergeCell ref="A22:H22"/>
    <mergeCell ref="A25:D25"/>
    <mergeCell ref="A1:H1"/>
    <mergeCell ref="A2:H2"/>
    <mergeCell ref="A3:A4"/>
    <mergeCell ref="B3:D3"/>
    <mergeCell ref="E3:E4"/>
    <mergeCell ref="F3:H3"/>
    <mergeCell ref="A23:E2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O25"/>
  <sheetViews>
    <sheetView rightToLeft="1" view="pageBreakPreview" zoomScale="110" zoomScaleSheetLayoutView="110" workbookViewId="0">
      <selection activeCell="E11" sqref="E11"/>
    </sheetView>
  </sheetViews>
  <sheetFormatPr defaultColWidth="10.375" defaultRowHeight="14.25"/>
  <cols>
    <col min="1" max="1" width="12.875" style="426" customWidth="1"/>
    <col min="2" max="2" width="16.375" style="426" customWidth="1"/>
    <col min="3" max="6" width="15.75" style="426" customWidth="1"/>
    <col min="7" max="7" width="0.875" style="426" customWidth="1"/>
    <col min="8" max="11" width="12" style="426" customWidth="1"/>
    <col min="12" max="14" width="0" style="426" hidden="1" customWidth="1"/>
    <col min="15" max="16384" width="10.375" style="426"/>
  </cols>
  <sheetData>
    <row r="1" spans="1:14" ht="22.5" customHeight="1">
      <c r="A1" s="1060" t="s">
        <v>477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</row>
    <row r="2" spans="1:14" ht="22.5" customHeight="1" thickBot="1">
      <c r="A2" s="1061" t="s">
        <v>420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</row>
    <row r="3" spans="1:14" ht="29.25" customHeight="1" thickTop="1">
      <c r="A3" s="1062" t="s">
        <v>103</v>
      </c>
      <c r="B3" s="1062" t="s">
        <v>649</v>
      </c>
      <c r="C3" s="1058" t="s">
        <v>413</v>
      </c>
      <c r="D3" s="1058"/>
      <c r="E3" s="1058"/>
      <c r="F3" s="1058"/>
      <c r="G3" s="1065"/>
      <c r="H3" s="1065" t="s">
        <v>414</v>
      </c>
      <c r="I3" s="1065"/>
      <c r="J3" s="1065"/>
      <c r="K3" s="1065"/>
    </row>
    <row r="4" spans="1:14" ht="22.5" customHeight="1">
      <c r="A4" s="1063"/>
      <c r="B4" s="1063"/>
      <c r="C4" s="425" t="s">
        <v>390</v>
      </c>
      <c r="D4" s="425" t="s">
        <v>391</v>
      </c>
      <c r="E4" s="425" t="s">
        <v>392</v>
      </c>
      <c r="F4" s="425" t="s">
        <v>47</v>
      </c>
      <c r="G4" s="1066"/>
      <c r="H4" s="425" t="s">
        <v>390</v>
      </c>
      <c r="I4" s="425" t="s">
        <v>391</v>
      </c>
      <c r="J4" s="425" t="s">
        <v>392</v>
      </c>
      <c r="K4" s="425" t="s">
        <v>47</v>
      </c>
    </row>
    <row r="5" spans="1:14" ht="22.5" customHeight="1">
      <c r="A5" s="336" t="s">
        <v>104</v>
      </c>
      <c r="B5" s="357">
        <f>'[1]17'!T5:T20</f>
        <v>1353552</v>
      </c>
      <c r="C5" s="350">
        <f>ROUND((H5*B5/100),0)</f>
        <v>1212783</v>
      </c>
      <c r="D5" s="350">
        <f>ROUND((I5*B5/100),0)</f>
        <v>125880</v>
      </c>
      <c r="E5" s="350">
        <f>ROUND((J5*B5/100),0)</f>
        <v>14889</v>
      </c>
      <c r="F5" s="350">
        <f>SUM(C5:E5)</f>
        <v>1353552</v>
      </c>
      <c r="G5" s="350"/>
      <c r="H5" s="491">
        <v>89.6</v>
      </c>
      <c r="I5" s="492">
        <v>9.3000000000000007</v>
      </c>
      <c r="J5" s="492">
        <v>1.1000000000000001</v>
      </c>
      <c r="K5" s="633">
        <f>SUM(H5:J5)</f>
        <v>99.999999999999986</v>
      </c>
    </row>
    <row r="6" spans="1:14" s="345" customFormat="1" ht="22.5" customHeight="1">
      <c r="A6" s="336" t="s">
        <v>105</v>
      </c>
      <c r="B6" s="357">
        <f>'[1]17'!T6:T21</f>
        <v>411651</v>
      </c>
      <c r="C6" s="350">
        <f t="shared" ref="C6:C20" si="0">ROUND((H6*B6/100),0)</f>
        <v>378719</v>
      </c>
      <c r="D6" s="350">
        <v>4116</v>
      </c>
      <c r="E6" s="350">
        <f t="shared" ref="E6:E12" si="1">ROUND((J6*B6/100),0)</f>
        <v>28816</v>
      </c>
      <c r="F6" s="350">
        <f t="shared" ref="F6:F20" si="2">SUM(C6:E6)</f>
        <v>411651</v>
      </c>
      <c r="G6" s="350"/>
      <c r="H6" s="491">
        <v>92</v>
      </c>
      <c r="I6" s="492">
        <v>1</v>
      </c>
      <c r="J6" s="492">
        <v>7</v>
      </c>
      <c r="K6" s="493">
        <f>SUM(H6:J6)</f>
        <v>100</v>
      </c>
    </row>
    <row r="7" spans="1:14" s="345" customFormat="1" ht="22.5" customHeight="1">
      <c r="A7" s="346" t="s">
        <v>106</v>
      </c>
      <c r="B7" s="357">
        <f>'[1]17'!T7:T22</f>
        <v>651800</v>
      </c>
      <c r="C7" s="350">
        <f t="shared" si="0"/>
        <v>625728</v>
      </c>
      <c r="D7" s="350">
        <f t="shared" ref="D7:D20" si="3">ROUND((I7*B7/100),0)</f>
        <v>19554</v>
      </c>
      <c r="E7" s="350">
        <f t="shared" si="1"/>
        <v>6518</v>
      </c>
      <c r="F7" s="350">
        <f t="shared" si="2"/>
        <v>651800</v>
      </c>
      <c r="G7" s="350"/>
      <c r="H7" s="491">
        <v>96</v>
      </c>
      <c r="I7" s="492">
        <v>3</v>
      </c>
      <c r="J7" s="492">
        <v>1</v>
      </c>
      <c r="K7" s="493">
        <f>SUM(H7:J7)</f>
        <v>100</v>
      </c>
    </row>
    <row r="8" spans="1:14" s="345" customFormat="1" ht="22.5" customHeight="1">
      <c r="A8" s="346" t="s">
        <v>448</v>
      </c>
      <c r="B8" s="357">
        <f>'[1]17'!T8:T23</f>
        <v>52292</v>
      </c>
      <c r="C8" s="350">
        <f t="shared" si="0"/>
        <v>41834</v>
      </c>
      <c r="D8" s="350">
        <f t="shared" si="3"/>
        <v>5229</v>
      </c>
      <c r="E8" s="350">
        <f t="shared" si="1"/>
        <v>5229</v>
      </c>
      <c r="F8" s="350">
        <f t="shared" si="2"/>
        <v>52292</v>
      </c>
      <c r="G8" s="350"/>
      <c r="H8" s="491">
        <v>80</v>
      </c>
      <c r="I8" s="492">
        <v>10</v>
      </c>
      <c r="J8" s="492">
        <v>10</v>
      </c>
      <c r="K8" s="633">
        <f>SUM(H8:J8)</f>
        <v>100</v>
      </c>
    </row>
    <row r="9" spans="1:14" s="345" customFormat="1" ht="22.5" customHeight="1">
      <c r="A9" s="355" t="s">
        <v>117</v>
      </c>
      <c r="B9" s="357">
        <f>'[1]17'!T9:T24</f>
        <v>4087612</v>
      </c>
      <c r="C9" s="350">
        <f t="shared" si="0"/>
        <v>3498996</v>
      </c>
      <c r="D9" s="350">
        <f t="shared" si="3"/>
        <v>39241</v>
      </c>
      <c r="E9" s="350">
        <f t="shared" si="1"/>
        <v>549375</v>
      </c>
      <c r="F9" s="350">
        <f t="shared" si="2"/>
        <v>4087612</v>
      </c>
      <c r="G9" s="350"/>
      <c r="H9" s="491">
        <v>85.6</v>
      </c>
      <c r="I9" s="492">
        <v>0.96</v>
      </c>
      <c r="J9" s="492">
        <v>13.44</v>
      </c>
      <c r="K9" s="493">
        <f t="shared" ref="K9:K18" si="4">SUM(H9:J9)</f>
        <v>99.999999999999986</v>
      </c>
    </row>
    <row r="10" spans="1:14" s="345" customFormat="1" ht="22.5" customHeight="1">
      <c r="A10" s="355" t="s">
        <v>108</v>
      </c>
      <c r="B10" s="357">
        <f>'[1]17'!T10:T25</f>
        <v>807068</v>
      </c>
      <c r="C10" s="350">
        <v>564947</v>
      </c>
      <c r="D10" s="350">
        <f t="shared" si="3"/>
        <v>161414</v>
      </c>
      <c r="E10" s="350">
        <f t="shared" si="1"/>
        <v>80707</v>
      </c>
      <c r="F10" s="350">
        <f t="shared" si="2"/>
        <v>807068</v>
      </c>
      <c r="G10" s="350"/>
      <c r="H10" s="491">
        <v>70</v>
      </c>
      <c r="I10" s="492">
        <v>20</v>
      </c>
      <c r="J10" s="492">
        <v>10</v>
      </c>
      <c r="K10" s="493">
        <f t="shared" si="4"/>
        <v>100</v>
      </c>
      <c r="L10" s="345">
        <v>564947.6</v>
      </c>
      <c r="M10" s="345">
        <v>161413.6</v>
      </c>
      <c r="N10" s="345">
        <v>80706.8</v>
      </c>
    </row>
    <row r="11" spans="1:14" s="345" customFormat="1" ht="22.5" customHeight="1">
      <c r="A11" s="355" t="s">
        <v>110</v>
      </c>
      <c r="B11" s="357">
        <f>'[1]17'!T11:T26</f>
        <v>651381</v>
      </c>
      <c r="C11" s="350">
        <f t="shared" si="0"/>
        <v>625326</v>
      </c>
      <c r="D11" s="350">
        <f t="shared" si="3"/>
        <v>6514</v>
      </c>
      <c r="E11" s="350">
        <f t="shared" si="1"/>
        <v>19541</v>
      </c>
      <c r="F11" s="350">
        <f t="shared" si="2"/>
        <v>651381</v>
      </c>
      <c r="G11" s="350"/>
      <c r="H11" s="491">
        <v>96</v>
      </c>
      <c r="I11" s="492">
        <v>1</v>
      </c>
      <c r="J11" s="492">
        <v>3</v>
      </c>
      <c r="K11" s="493">
        <f t="shared" si="4"/>
        <v>100</v>
      </c>
    </row>
    <row r="12" spans="1:14" s="345" customFormat="1" ht="22.5" customHeight="1">
      <c r="A12" s="355" t="s">
        <v>102</v>
      </c>
      <c r="B12" s="357">
        <f>'[1]17'!T12:T27</f>
        <v>570969</v>
      </c>
      <c r="C12" s="350">
        <f t="shared" si="0"/>
        <v>485324</v>
      </c>
      <c r="D12" s="350">
        <f t="shared" si="3"/>
        <v>11419</v>
      </c>
      <c r="E12" s="350">
        <f t="shared" si="1"/>
        <v>74226</v>
      </c>
      <c r="F12" s="350">
        <f t="shared" si="2"/>
        <v>570969</v>
      </c>
      <c r="G12" s="357"/>
      <c r="H12" s="491">
        <v>85</v>
      </c>
      <c r="I12" s="492">
        <v>2</v>
      </c>
      <c r="J12" s="492">
        <v>13</v>
      </c>
      <c r="K12" s="493">
        <f t="shared" si="4"/>
        <v>100</v>
      </c>
    </row>
    <row r="13" spans="1:14" s="358" customFormat="1" ht="22.5" customHeight="1">
      <c r="A13" s="355" t="s">
        <v>109</v>
      </c>
      <c r="B13" s="357">
        <f>'[1]17'!T13:T28</f>
        <v>674854</v>
      </c>
      <c r="C13" s="350">
        <f t="shared" si="0"/>
        <v>647860</v>
      </c>
      <c r="D13" s="350">
        <f t="shared" si="3"/>
        <v>6749</v>
      </c>
      <c r="E13" s="350">
        <v>20245</v>
      </c>
      <c r="F13" s="350">
        <f t="shared" si="2"/>
        <v>674854</v>
      </c>
      <c r="G13" s="350"/>
      <c r="H13" s="491">
        <v>96</v>
      </c>
      <c r="I13" s="492">
        <v>1</v>
      </c>
      <c r="J13" s="492">
        <v>3</v>
      </c>
      <c r="K13" s="493">
        <f t="shared" si="4"/>
        <v>100</v>
      </c>
      <c r="L13" s="358">
        <v>647859.84</v>
      </c>
      <c r="M13" s="358">
        <v>6748.54</v>
      </c>
      <c r="N13" s="358">
        <v>20245.62</v>
      </c>
    </row>
    <row r="14" spans="1:14" s="358" customFormat="1" ht="22.5" customHeight="1">
      <c r="A14" s="359" t="s">
        <v>107</v>
      </c>
      <c r="B14" s="357">
        <f>'[1]17'!T14:T29</f>
        <v>500722</v>
      </c>
      <c r="C14" s="350">
        <f t="shared" si="0"/>
        <v>485700</v>
      </c>
      <c r="D14" s="350">
        <f t="shared" si="3"/>
        <v>5007</v>
      </c>
      <c r="E14" s="350">
        <v>10015</v>
      </c>
      <c r="F14" s="350">
        <f t="shared" si="2"/>
        <v>500722</v>
      </c>
      <c r="G14" s="361"/>
      <c r="H14" s="491">
        <v>97</v>
      </c>
      <c r="I14" s="492">
        <v>1</v>
      </c>
      <c r="J14" s="492">
        <v>2</v>
      </c>
      <c r="K14" s="493">
        <f t="shared" si="4"/>
        <v>100</v>
      </c>
      <c r="L14" s="350">
        <v>485700</v>
      </c>
      <c r="M14" s="350">
        <v>5007</v>
      </c>
      <c r="N14" s="350">
        <v>10015</v>
      </c>
    </row>
    <row r="15" spans="1:14" s="358" customFormat="1" ht="22.5" customHeight="1">
      <c r="A15" s="359" t="s">
        <v>111</v>
      </c>
      <c r="B15" s="357">
        <f>'[1]17'!T15:T30</f>
        <v>766110</v>
      </c>
      <c r="C15" s="350">
        <f t="shared" si="0"/>
        <v>689499</v>
      </c>
      <c r="D15" s="350">
        <f t="shared" si="3"/>
        <v>7661</v>
      </c>
      <c r="E15" s="350">
        <f t="shared" ref="E15:E20" si="5">ROUND((J15*B15/100),0)</f>
        <v>68950</v>
      </c>
      <c r="F15" s="350">
        <f t="shared" si="2"/>
        <v>766110</v>
      </c>
      <c r="G15" s="361"/>
      <c r="H15" s="491">
        <v>90</v>
      </c>
      <c r="I15" s="492">
        <v>1</v>
      </c>
      <c r="J15" s="492">
        <v>9</v>
      </c>
      <c r="K15" s="493">
        <f t="shared" si="4"/>
        <v>100</v>
      </c>
    </row>
    <row r="16" spans="1:14" s="358" customFormat="1" ht="22.5" customHeight="1">
      <c r="A16" s="359" t="s">
        <v>112</v>
      </c>
      <c r="B16" s="357">
        <f>'[1]17'!T16:T31</f>
        <v>439809</v>
      </c>
      <c r="C16" s="350">
        <f t="shared" si="0"/>
        <v>373838</v>
      </c>
      <c r="D16" s="350">
        <f t="shared" si="3"/>
        <v>43981</v>
      </c>
      <c r="E16" s="350">
        <f t="shared" si="5"/>
        <v>21990</v>
      </c>
      <c r="F16" s="350">
        <f t="shared" si="2"/>
        <v>439809</v>
      </c>
      <c r="G16" s="361"/>
      <c r="H16" s="491">
        <v>85</v>
      </c>
      <c r="I16" s="492">
        <v>10</v>
      </c>
      <c r="J16" s="492">
        <v>5</v>
      </c>
      <c r="K16" s="493">
        <f t="shared" si="4"/>
        <v>100</v>
      </c>
    </row>
    <row r="17" spans="1:15" s="358" customFormat="1" ht="22.5" customHeight="1">
      <c r="A17" s="359" t="s">
        <v>113</v>
      </c>
      <c r="B17" s="357">
        <f>'[1]17'!T17:T32</f>
        <v>238640</v>
      </c>
      <c r="C17" s="350">
        <f t="shared" si="0"/>
        <v>167048</v>
      </c>
      <c r="D17" s="350">
        <f t="shared" si="3"/>
        <v>47728</v>
      </c>
      <c r="E17" s="350">
        <f t="shared" si="5"/>
        <v>23864</v>
      </c>
      <c r="F17" s="350">
        <f t="shared" si="2"/>
        <v>238640</v>
      </c>
      <c r="G17" s="361"/>
      <c r="H17" s="491">
        <v>70</v>
      </c>
      <c r="I17" s="492">
        <v>20</v>
      </c>
      <c r="J17" s="492">
        <v>10</v>
      </c>
      <c r="K17" s="493">
        <f t="shared" si="4"/>
        <v>100</v>
      </c>
    </row>
    <row r="18" spans="1:15" s="358" customFormat="1" ht="22.5" customHeight="1">
      <c r="A18" s="359" t="s">
        <v>114</v>
      </c>
      <c r="B18" s="357">
        <f>'[1]17'!T18:T33</f>
        <v>620016</v>
      </c>
      <c r="C18" s="350">
        <v>595215</v>
      </c>
      <c r="D18" s="350">
        <v>6200</v>
      </c>
      <c r="E18" s="350">
        <v>18601</v>
      </c>
      <c r="F18" s="350">
        <f t="shared" si="2"/>
        <v>620016</v>
      </c>
      <c r="G18" s="361"/>
      <c r="H18" s="491">
        <v>96</v>
      </c>
      <c r="I18" s="492">
        <v>1</v>
      </c>
      <c r="J18" s="492">
        <v>3</v>
      </c>
      <c r="K18" s="493">
        <f t="shared" si="4"/>
        <v>100</v>
      </c>
      <c r="L18" s="358">
        <v>595215.4</v>
      </c>
      <c r="M18" s="350">
        <v>6200.2</v>
      </c>
      <c r="N18" s="358">
        <v>18600.5</v>
      </c>
    </row>
    <row r="19" spans="1:15" s="358" customFormat="1" ht="22.5" customHeight="1">
      <c r="A19" s="359" t="s">
        <v>115</v>
      </c>
      <c r="B19" s="357">
        <f>'[1]17'!T19:T34</f>
        <v>430030</v>
      </c>
      <c r="C19" s="350">
        <f t="shared" si="0"/>
        <v>412829</v>
      </c>
      <c r="D19" s="350">
        <f t="shared" si="3"/>
        <v>3440</v>
      </c>
      <c r="E19" s="350">
        <f t="shared" si="5"/>
        <v>13761</v>
      </c>
      <c r="F19" s="350">
        <f t="shared" si="2"/>
        <v>430030</v>
      </c>
      <c r="G19" s="361"/>
      <c r="H19" s="491">
        <v>96</v>
      </c>
      <c r="I19" s="492">
        <v>0.8</v>
      </c>
      <c r="J19" s="492">
        <v>3.2</v>
      </c>
      <c r="K19" s="493">
        <f>SUM(H19:J19)</f>
        <v>100</v>
      </c>
    </row>
    <row r="20" spans="1:15" s="358" customFormat="1" ht="22.5" customHeight="1" thickBot="1">
      <c r="A20" s="362" t="s">
        <v>116</v>
      </c>
      <c r="B20" s="357">
        <f>'[1]17'!T20:T35</f>
        <v>1536826</v>
      </c>
      <c r="C20" s="350">
        <f t="shared" si="0"/>
        <v>1152620</v>
      </c>
      <c r="D20" s="350">
        <f t="shared" si="3"/>
        <v>307365</v>
      </c>
      <c r="E20" s="350">
        <f t="shared" si="5"/>
        <v>76841</v>
      </c>
      <c r="F20" s="350">
        <f t="shared" si="2"/>
        <v>1536826</v>
      </c>
      <c r="G20" s="357"/>
      <c r="H20" s="531">
        <v>75</v>
      </c>
      <c r="I20" s="531">
        <v>20</v>
      </c>
      <c r="J20" s="531">
        <v>5</v>
      </c>
      <c r="K20" s="493">
        <f>SUM(H20:J20)</f>
        <v>100</v>
      </c>
    </row>
    <row r="21" spans="1:15" s="345" customFormat="1" ht="22.5" customHeight="1" thickTop="1" thickBot="1">
      <c r="A21" s="374" t="s">
        <v>410</v>
      </c>
      <c r="B21" s="377">
        <f>SUM(B5:B20)</f>
        <v>13793332</v>
      </c>
      <c r="C21" s="377">
        <f>SUM(C5:C20)</f>
        <v>11958266</v>
      </c>
      <c r="D21" s="377">
        <f>SUM(D5:D20)</f>
        <v>801498</v>
      </c>
      <c r="E21" s="377">
        <f>SUM(E5:E20)</f>
        <v>1033568</v>
      </c>
      <c r="F21" s="377">
        <f>SUM(F5:F20)</f>
        <v>13793332</v>
      </c>
      <c r="G21" s="377"/>
      <c r="H21" s="536">
        <f>C21/B21*100</f>
        <v>86.695991947413432</v>
      </c>
      <c r="I21" s="536">
        <f>D21/B21*100</f>
        <v>5.8107642156369463</v>
      </c>
      <c r="J21" s="536">
        <f>E21/B21*100</f>
        <v>7.4932438369496213</v>
      </c>
      <c r="K21" s="536">
        <f>F21/B21*100</f>
        <v>100</v>
      </c>
    </row>
    <row r="22" spans="1:15" s="345" customFormat="1" ht="15.75" customHeight="1" thickTop="1">
      <c r="A22" s="1047"/>
      <c r="B22" s="1047"/>
      <c r="C22" s="1047"/>
      <c r="D22" s="1047"/>
      <c r="E22" s="1047"/>
      <c r="F22" s="635"/>
      <c r="G22" s="635"/>
      <c r="H22"/>
      <c r="I22"/>
      <c r="J22"/>
      <c r="K22" s="364"/>
      <c r="L22" s="352"/>
      <c r="M22" s="351"/>
      <c r="N22" s="351"/>
    </row>
    <row r="23" spans="1:15" s="345" customFormat="1" ht="19.5" customHeight="1">
      <c r="A23" s="956" t="s">
        <v>431</v>
      </c>
      <c r="B23" s="956"/>
      <c r="C23" s="956"/>
      <c r="D23" s="956"/>
      <c r="E23" s="956"/>
      <c r="F23" s="956"/>
      <c r="G23" s="956"/>
      <c r="H23" s="956"/>
      <c r="I23" s="956"/>
      <c r="J23" s="956"/>
      <c r="K23" s="956"/>
      <c r="L23" s="956"/>
      <c r="M23" s="956"/>
      <c r="N23" s="956"/>
      <c r="O23" s="351"/>
    </row>
    <row r="24" spans="1:15" s="345" customFormat="1" ht="19.5" customHeight="1" thickBot="1">
      <c r="A24" s="961" t="s">
        <v>432</v>
      </c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  <c r="M24" s="961"/>
      <c r="N24" s="961"/>
      <c r="O24" s="351"/>
    </row>
    <row r="25" spans="1:15" ht="21.75" customHeight="1">
      <c r="A25" s="1027" t="s">
        <v>336</v>
      </c>
      <c r="B25" s="1027"/>
      <c r="C25" s="1027"/>
      <c r="D25" s="1027"/>
      <c r="E25" s="1027"/>
      <c r="F25" s="1027"/>
      <c r="G25" s="892"/>
      <c r="H25" s="428"/>
      <c r="I25" s="428"/>
      <c r="J25" s="428"/>
      <c r="K25" s="471">
        <v>45</v>
      </c>
    </row>
  </sheetData>
  <mergeCells count="11">
    <mergeCell ref="A25:F25"/>
    <mergeCell ref="A1:K1"/>
    <mergeCell ref="A2:K2"/>
    <mergeCell ref="A3:A4"/>
    <mergeCell ref="C3:F3"/>
    <mergeCell ref="G3:G4"/>
    <mergeCell ref="H3:K3"/>
    <mergeCell ref="A23:N23"/>
    <mergeCell ref="A24:N24"/>
    <mergeCell ref="A22:E22"/>
    <mergeCell ref="B3:B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O23"/>
  <sheetViews>
    <sheetView rightToLeft="1" view="pageBreakPreview" topLeftCell="A13" zoomScale="120" zoomScaleSheetLayoutView="120" workbookViewId="0">
      <selection activeCell="B5" sqref="B5"/>
    </sheetView>
  </sheetViews>
  <sheetFormatPr defaultColWidth="10.375" defaultRowHeight="14.25"/>
  <cols>
    <col min="1" max="1" width="39.25" style="426" customWidth="1"/>
    <col min="2" max="2" width="12.125" style="426" customWidth="1"/>
    <col min="3" max="3" width="10.75" style="426" customWidth="1"/>
    <col min="4" max="4" width="64.375" style="426" customWidth="1"/>
    <col min="5" max="16384" width="10.375" style="426"/>
  </cols>
  <sheetData>
    <row r="1" spans="1:4" ht="29.25" customHeight="1">
      <c r="A1" s="1060" t="s">
        <v>673</v>
      </c>
      <c r="B1" s="1060"/>
      <c r="C1" s="1060"/>
      <c r="D1" s="1060"/>
    </row>
    <row r="2" spans="1:4" ht="29.25" customHeight="1" thickBot="1">
      <c r="A2" s="1061" t="s">
        <v>487</v>
      </c>
      <c r="B2" s="1061"/>
      <c r="C2" s="1061"/>
      <c r="D2" s="1061"/>
    </row>
    <row r="3" spans="1:4" ht="42" customHeight="1" thickTop="1">
      <c r="A3" s="475" t="s">
        <v>395</v>
      </c>
      <c r="B3" s="475" t="s">
        <v>396</v>
      </c>
      <c r="C3" s="476" t="s">
        <v>275</v>
      </c>
      <c r="D3" s="476" t="s">
        <v>397</v>
      </c>
    </row>
    <row r="4" spans="1:4" s="345" customFormat="1" ht="22.5" customHeight="1">
      <c r="A4" s="566" t="s">
        <v>398</v>
      </c>
      <c r="B4" s="546">
        <v>7</v>
      </c>
      <c r="C4" s="552">
        <f>B4/16*100</f>
        <v>43.75</v>
      </c>
      <c r="D4" s="543" t="s">
        <v>597</v>
      </c>
    </row>
    <row r="5" spans="1:4" s="345" customFormat="1" ht="22.5" customHeight="1">
      <c r="A5" s="567" t="s">
        <v>399</v>
      </c>
      <c r="B5" s="547">
        <v>12</v>
      </c>
      <c r="C5" s="553">
        <f t="shared" ref="C5:C18" si="0">B5/16*100</f>
        <v>75</v>
      </c>
      <c r="D5" s="544" t="s">
        <v>598</v>
      </c>
    </row>
    <row r="6" spans="1:4" s="345" customFormat="1" ht="22.5" customHeight="1">
      <c r="A6" s="567" t="s">
        <v>400</v>
      </c>
      <c r="B6" s="548">
        <v>7</v>
      </c>
      <c r="C6" s="553">
        <f t="shared" si="0"/>
        <v>43.75</v>
      </c>
      <c r="D6" s="544" t="s">
        <v>599</v>
      </c>
    </row>
    <row r="7" spans="1:4" s="345" customFormat="1" ht="22.5" customHeight="1">
      <c r="A7" s="567" t="s">
        <v>401</v>
      </c>
      <c r="B7" s="548">
        <v>12</v>
      </c>
      <c r="C7" s="553">
        <f t="shared" si="0"/>
        <v>75</v>
      </c>
      <c r="D7" s="544" t="s">
        <v>600</v>
      </c>
    </row>
    <row r="8" spans="1:4" s="345" customFormat="1" ht="22.5" customHeight="1">
      <c r="A8" s="567" t="s">
        <v>402</v>
      </c>
      <c r="B8" s="548">
        <v>12</v>
      </c>
      <c r="C8" s="553">
        <f t="shared" si="0"/>
        <v>75</v>
      </c>
      <c r="D8" s="544" t="s">
        <v>601</v>
      </c>
    </row>
    <row r="9" spans="1:4" s="345" customFormat="1" ht="22.5" customHeight="1">
      <c r="A9" s="568" t="s">
        <v>403</v>
      </c>
      <c r="B9" s="548">
        <v>3</v>
      </c>
      <c r="C9" s="553">
        <f t="shared" si="0"/>
        <v>18.75</v>
      </c>
      <c r="D9" s="544" t="s">
        <v>602</v>
      </c>
    </row>
    <row r="10" spans="1:4" s="358" customFormat="1" ht="22.5" customHeight="1">
      <c r="A10" s="567" t="s">
        <v>404</v>
      </c>
      <c r="B10" s="548">
        <v>12</v>
      </c>
      <c r="C10" s="553">
        <f t="shared" si="0"/>
        <v>75</v>
      </c>
      <c r="D10" s="544" t="s">
        <v>603</v>
      </c>
    </row>
    <row r="11" spans="1:4" s="358" customFormat="1" ht="22.5" customHeight="1">
      <c r="A11" s="567" t="s">
        <v>405</v>
      </c>
      <c r="B11" s="549">
        <v>9</v>
      </c>
      <c r="C11" s="553">
        <f t="shared" si="0"/>
        <v>56.25</v>
      </c>
      <c r="D11" s="544" t="s">
        <v>644</v>
      </c>
    </row>
    <row r="12" spans="1:4" s="358" customFormat="1" ht="22.5" customHeight="1">
      <c r="A12" s="567" t="s">
        <v>406</v>
      </c>
      <c r="B12" s="549">
        <v>2</v>
      </c>
      <c r="C12" s="553">
        <f t="shared" si="0"/>
        <v>12.5</v>
      </c>
      <c r="D12" s="545" t="s">
        <v>604</v>
      </c>
    </row>
    <row r="13" spans="1:4" s="358" customFormat="1" ht="22.5" customHeight="1">
      <c r="A13" s="567" t="s">
        <v>407</v>
      </c>
      <c r="B13" s="549">
        <v>15</v>
      </c>
      <c r="C13" s="553">
        <f t="shared" si="0"/>
        <v>93.75</v>
      </c>
      <c r="D13" s="544" t="s">
        <v>605</v>
      </c>
    </row>
    <row r="14" spans="1:4" s="358" customFormat="1" ht="22.5" customHeight="1">
      <c r="A14" s="569" t="s">
        <v>408</v>
      </c>
      <c r="B14" s="549">
        <v>16</v>
      </c>
      <c r="C14" s="553">
        <f t="shared" si="0"/>
        <v>100</v>
      </c>
      <c r="D14" s="544" t="s">
        <v>606</v>
      </c>
    </row>
    <row r="15" spans="1:4" s="358" customFormat="1" ht="22.5" customHeight="1">
      <c r="A15" s="567" t="s">
        <v>409</v>
      </c>
      <c r="B15" s="549">
        <v>16</v>
      </c>
      <c r="C15" s="553">
        <f t="shared" si="0"/>
        <v>100</v>
      </c>
      <c r="D15" s="544" t="s">
        <v>606</v>
      </c>
    </row>
    <row r="16" spans="1:4" s="358" customFormat="1" ht="22.5" customHeight="1">
      <c r="A16" s="570" t="s">
        <v>427</v>
      </c>
      <c r="B16" s="551">
        <v>15</v>
      </c>
      <c r="C16" s="553">
        <f t="shared" si="0"/>
        <v>93.75</v>
      </c>
      <c r="D16" s="544" t="s">
        <v>607</v>
      </c>
    </row>
    <row r="17" spans="1:15" s="358" customFormat="1" ht="22.5" customHeight="1">
      <c r="A17" s="570" t="s">
        <v>594</v>
      </c>
      <c r="B17" s="551">
        <v>4</v>
      </c>
      <c r="C17" s="553">
        <f t="shared" si="0"/>
        <v>25</v>
      </c>
      <c r="D17" s="554" t="s">
        <v>608</v>
      </c>
    </row>
    <row r="18" spans="1:15" s="358" customFormat="1" ht="22.5" customHeight="1" thickBot="1">
      <c r="A18" s="571" t="s">
        <v>415</v>
      </c>
      <c r="B18" s="550">
        <v>2</v>
      </c>
      <c r="C18" s="754">
        <f t="shared" si="0"/>
        <v>12.5</v>
      </c>
      <c r="D18" s="555" t="s">
        <v>609</v>
      </c>
    </row>
    <row r="19" spans="1:15" s="345" customFormat="1" ht="22.5" customHeight="1" thickTop="1">
      <c r="A19" s="956" t="s">
        <v>431</v>
      </c>
      <c r="B19" s="956"/>
      <c r="C19" s="956"/>
      <c r="D19" s="956"/>
      <c r="E19" s="956"/>
      <c r="F19" s="956"/>
      <c r="G19" s="956"/>
      <c r="H19" s="956"/>
      <c r="I19" s="956"/>
      <c r="J19" s="956"/>
      <c r="K19" s="956"/>
      <c r="L19" s="956"/>
      <c r="M19" s="956"/>
      <c r="N19" s="956"/>
      <c r="O19" s="351"/>
    </row>
    <row r="20" spans="1:15" s="345" customFormat="1" ht="22.5" customHeight="1">
      <c r="A20" s="961" t="s">
        <v>432</v>
      </c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351"/>
    </row>
    <row r="21" spans="1:15" s="345" customFormat="1" ht="22.5" customHeight="1">
      <c r="A21" s="610"/>
      <c r="B21" s="610"/>
      <c r="C21" s="610"/>
      <c r="D21" s="610"/>
      <c r="E21" s="610"/>
      <c r="F21" s="610"/>
      <c r="G21" s="610"/>
      <c r="H21" s="610"/>
      <c r="I21" s="610"/>
      <c r="J21" s="610"/>
      <c r="K21" s="610"/>
      <c r="L21" s="610"/>
      <c r="M21" s="610"/>
      <c r="N21" s="610"/>
      <c r="O21" s="351"/>
    </row>
    <row r="22" spans="1:15" s="345" customFormat="1" ht="22.5" customHeight="1" thickBot="1">
      <c r="A22" s="610"/>
      <c r="B22" s="610"/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351"/>
    </row>
    <row r="23" spans="1:15" ht="22.5" customHeight="1">
      <c r="A23" s="534" t="s">
        <v>336</v>
      </c>
      <c r="B23" s="534"/>
      <c r="C23" s="534"/>
      <c r="D23" s="534">
        <v>46</v>
      </c>
    </row>
  </sheetData>
  <mergeCells count="4">
    <mergeCell ref="A1:D1"/>
    <mergeCell ref="A2:D2"/>
    <mergeCell ref="A19:N19"/>
    <mergeCell ref="A20:N2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O22"/>
  <sheetViews>
    <sheetView rightToLeft="1" view="pageBreakPreview" zoomScaleSheetLayoutView="100" workbookViewId="0">
      <selection activeCell="K14" sqref="K14"/>
    </sheetView>
  </sheetViews>
  <sheetFormatPr defaultRowHeight="14.25"/>
  <cols>
    <col min="1" max="1" width="0.75" customWidth="1"/>
    <col min="2" max="2" width="12.625" customWidth="1"/>
    <col min="3" max="8" width="11.125" customWidth="1"/>
    <col min="9" max="9" width="0.625" customWidth="1"/>
    <col min="10" max="12" width="18.875" customWidth="1"/>
  </cols>
  <sheetData>
    <row r="1" spans="2:15" ht="21" customHeight="1">
      <c r="B1" s="1070" t="s">
        <v>679</v>
      </c>
      <c r="C1" s="1070"/>
      <c r="D1" s="1070"/>
      <c r="E1" s="1070"/>
      <c r="F1" s="1070"/>
      <c r="G1" s="1070"/>
      <c r="H1" s="1070"/>
      <c r="I1" s="1070"/>
      <c r="J1" s="1070"/>
      <c r="K1" s="1070"/>
      <c r="L1" s="1070"/>
    </row>
    <row r="2" spans="2:15" ht="26.25" customHeight="1" thickBot="1">
      <c r="B2" s="252" t="s">
        <v>419</v>
      </c>
      <c r="C2" s="51"/>
      <c r="D2" s="51"/>
      <c r="E2" s="51"/>
      <c r="F2" s="51"/>
      <c r="G2" s="51"/>
      <c r="H2" s="52"/>
      <c r="I2" s="54"/>
      <c r="L2" s="54" t="s">
        <v>122</v>
      </c>
    </row>
    <row r="3" spans="2:15" ht="30.75" customHeight="1" thickTop="1">
      <c r="B3" s="1072" t="s">
        <v>123</v>
      </c>
      <c r="C3" s="988" t="s">
        <v>138</v>
      </c>
      <c r="D3" s="988"/>
      <c r="E3" s="988"/>
      <c r="F3" s="988"/>
      <c r="G3" s="988"/>
      <c r="H3" s="988"/>
      <c r="I3" s="664"/>
      <c r="J3" s="1071" t="s">
        <v>139</v>
      </c>
      <c r="K3" s="1071"/>
      <c r="L3" s="1071"/>
    </row>
    <row r="4" spans="2:15" ht="21" customHeight="1">
      <c r="B4" s="1073"/>
      <c r="C4" s="1075" t="s">
        <v>124</v>
      </c>
      <c r="D4" s="1075"/>
      <c r="E4" s="1075" t="s">
        <v>125</v>
      </c>
      <c r="F4" s="1075"/>
      <c r="G4" s="1075" t="s">
        <v>126</v>
      </c>
      <c r="H4" s="1075"/>
      <c r="I4" s="641"/>
      <c r="J4" s="666" t="s">
        <v>124</v>
      </c>
      <c r="K4" s="666" t="s">
        <v>137</v>
      </c>
      <c r="L4" s="666" t="s">
        <v>126</v>
      </c>
      <c r="M4" s="55"/>
      <c r="N4" s="55"/>
      <c r="O4" s="55"/>
    </row>
    <row r="5" spans="2:15" ht="20.25" customHeight="1">
      <c r="B5" s="1073"/>
      <c r="C5" s="1076" t="s">
        <v>676</v>
      </c>
      <c r="D5" s="1076"/>
      <c r="E5" s="1077" t="s">
        <v>677</v>
      </c>
      <c r="F5" s="1077"/>
      <c r="G5" s="1077" t="s">
        <v>247</v>
      </c>
      <c r="H5" s="1077"/>
      <c r="I5" s="642"/>
      <c r="J5" s="1068" t="s">
        <v>678</v>
      </c>
      <c r="K5" s="1068" t="s">
        <v>677</v>
      </c>
      <c r="L5" s="1068" t="s">
        <v>247</v>
      </c>
      <c r="N5" s="132" t="s">
        <v>129</v>
      </c>
    </row>
    <row r="6" spans="2:15" ht="21" customHeight="1">
      <c r="B6" s="1074"/>
      <c r="C6" s="643" t="s">
        <v>127</v>
      </c>
      <c r="D6" s="643" t="s">
        <v>128</v>
      </c>
      <c r="E6" s="643" t="s">
        <v>127</v>
      </c>
      <c r="F6" s="643" t="s">
        <v>128</v>
      </c>
      <c r="G6" s="643" t="s">
        <v>127</v>
      </c>
      <c r="H6" s="643" t="s">
        <v>128</v>
      </c>
      <c r="I6" s="644"/>
      <c r="J6" s="1069"/>
      <c r="K6" s="1069"/>
      <c r="L6" s="1069"/>
      <c r="N6" s="133" t="s">
        <v>130</v>
      </c>
    </row>
    <row r="7" spans="2:15" ht="29.25" customHeight="1">
      <c r="B7" s="132" t="s">
        <v>129</v>
      </c>
      <c r="C7" s="129">
        <v>65</v>
      </c>
      <c r="D7" s="129">
        <v>6000</v>
      </c>
      <c r="E7" s="129">
        <v>110</v>
      </c>
      <c r="F7" s="129">
        <v>9200</v>
      </c>
      <c r="G7" s="129">
        <v>45</v>
      </c>
      <c r="H7" s="129">
        <v>2800</v>
      </c>
      <c r="I7" s="129"/>
      <c r="J7" s="129">
        <v>1357</v>
      </c>
      <c r="K7" s="129">
        <v>1286</v>
      </c>
      <c r="L7" s="129">
        <v>711</v>
      </c>
      <c r="N7" s="133" t="s">
        <v>131</v>
      </c>
    </row>
    <row r="8" spans="2:15" ht="29.25" customHeight="1">
      <c r="B8" s="133" t="s">
        <v>130</v>
      </c>
      <c r="C8" s="130">
        <v>1300</v>
      </c>
      <c r="D8" s="130">
        <v>54000</v>
      </c>
      <c r="E8" s="130">
        <v>7900</v>
      </c>
      <c r="F8" s="130">
        <v>54000</v>
      </c>
      <c r="G8" s="130">
        <v>7900</v>
      </c>
      <c r="H8" s="130">
        <v>54000</v>
      </c>
      <c r="I8" s="130"/>
      <c r="J8" s="130">
        <v>3600</v>
      </c>
      <c r="K8" s="130">
        <v>23239</v>
      </c>
      <c r="L8" s="130">
        <v>22020</v>
      </c>
      <c r="N8" s="133" t="s">
        <v>132</v>
      </c>
    </row>
    <row r="9" spans="2:15" ht="29.25" customHeight="1">
      <c r="B9" s="133" t="s">
        <v>131</v>
      </c>
      <c r="C9" s="130">
        <v>166</v>
      </c>
      <c r="D9" s="130">
        <v>4675</v>
      </c>
      <c r="E9" s="130">
        <v>490</v>
      </c>
      <c r="F9" s="130">
        <v>17000</v>
      </c>
      <c r="G9" s="130">
        <v>4900</v>
      </c>
      <c r="H9" s="130">
        <v>17000</v>
      </c>
      <c r="I9" s="130"/>
      <c r="J9" s="130">
        <v>1579</v>
      </c>
      <c r="K9" s="130">
        <v>7525</v>
      </c>
      <c r="L9" s="130">
        <v>7511</v>
      </c>
      <c r="N9" s="133" t="s">
        <v>133</v>
      </c>
    </row>
    <row r="10" spans="2:15" ht="29.25" customHeight="1">
      <c r="B10" s="133" t="s">
        <v>292</v>
      </c>
      <c r="C10" s="130">
        <v>2250</v>
      </c>
      <c r="D10" s="130">
        <v>5000</v>
      </c>
      <c r="E10" s="130">
        <v>3300</v>
      </c>
      <c r="F10" s="130">
        <v>920000</v>
      </c>
      <c r="G10" s="130">
        <v>3300</v>
      </c>
      <c r="H10" s="130">
        <v>540000</v>
      </c>
      <c r="I10" s="130"/>
      <c r="J10" s="130">
        <v>27907</v>
      </c>
      <c r="K10" s="130">
        <v>43148</v>
      </c>
      <c r="L10" s="130">
        <v>35724</v>
      </c>
      <c r="N10" s="133" t="s">
        <v>112</v>
      </c>
    </row>
    <row r="11" spans="2:15" ht="29.25" customHeight="1">
      <c r="B11" s="133" t="s">
        <v>133</v>
      </c>
      <c r="C11" s="130">
        <v>4800</v>
      </c>
      <c r="D11" s="130">
        <v>5000</v>
      </c>
      <c r="E11" s="130">
        <v>6900</v>
      </c>
      <c r="F11" s="130">
        <v>79000</v>
      </c>
      <c r="G11" s="130">
        <v>4900</v>
      </c>
      <c r="H11" s="130">
        <v>79000</v>
      </c>
      <c r="I11" s="130"/>
      <c r="J11" s="130">
        <v>9425</v>
      </c>
      <c r="K11" s="130">
        <v>31594</v>
      </c>
      <c r="L11" s="130">
        <v>24147</v>
      </c>
      <c r="N11" s="133" t="s">
        <v>134</v>
      </c>
    </row>
    <row r="12" spans="2:15" ht="29.25" customHeight="1">
      <c r="B12" s="133" t="s">
        <v>132</v>
      </c>
      <c r="C12" s="130">
        <v>300</v>
      </c>
      <c r="D12" s="130">
        <v>20000</v>
      </c>
      <c r="E12" s="130">
        <v>1300</v>
      </c>
      <c r="F12" s="130">
        <v>46000</v>
      </c>
      <c r="G12" s="130">
        <v>1300</v>
      </c>
      <c r="H12" s="130">
        <v>46000</v>
      </c>
      <c r="I12" s="130"/>
      <c r="J12" s="130">
        <v>6004</v>
      </c>
      <c r="K12" s="130">
        <v>11277</v>
      </c>
      <c r="L12" s="130">
        <v>8742</v>
      </c>
      <c r="N12" s="134" t="s">
        <v>135</v>
      </c>
    </row>
    <row r="13" spans="2:15" ht="29.25" customHeight="1" thickBot="1">
      <c r="B13" s="133" t="s">
        <v>254</v>
      </c>
      <c r="C13" s="130">
        <v>1100</v>
      </c>
      <c r="D13" s="130">
        <v>17250</v>
      </c>
      <c r="E13" s="130">
        <v>1700</v>
      </c>
      <c r="F13" s="130">
        <v>54000</v>
      </c>
      <c r="G13" s="130">
        <v>1700</v>
      </c>
      <c r="H13" s="130">
        <v>35000</v>
      </c>
      <c r="I13" s="130"/>
      <c r="J13" s="130">
        <v>4732</v>
      </c>
      <c r="K13" s="130">
        <v>20262</v>
      </c>
      <c r="L13" s="130">
        <v>17833</v>
      </c>
      <c r="N13" s="135" t="s">
        <v>136</v>
      </c>
    </row>
    <row r="14" spans="2:15" ht="29.25" customHeight="1" thickTop="1">
      <c r="B14" s="133" t="s">
        <v>112</v>
      </c>
      <c r="C14" s="130">
        <v>2200</v>
      </c>
      <c r="D14" s="130">
        <v>75000</v>
      </c>
      <c r="E14" s="130">
        <v>4900</v>
      </c>
      <c r="F14" s="130">
        <v>220000</v>
      </c>
      <c r="G14" s="130">
        <v>4900</v>
      </c>
      <c r="H14" s="130">
        <v>17000</v>
      </c>
      <c r="I14" s="130"/>
      <c r="J14" s="130">
        <v>6067</v>
      </c>
      <c r="K14" s="130">
        <v>45059</v>
      </c>
      <c r="L14" s="130">
        <v>33805</v>
      </c>
    </row>
    <row r="15" spans="2:15" ht="29.25" customHeight="1">
      <c r="B15" s="133" t="s">
        <v>134</v>
      </c>
      <c r="C15" s="130">
        <v>4575</v>
      </c>
      <c r="D15" s="130">
        <v>35000</v>
      </c>
      <c r="E15" s="130">
        <v>27000</v>
      </c>
      <c r="F15" s="130">
        <v>350000</v>
      </c>
      <c r="G15" s="130">
        <v>17000</v>
      </c>
      <c r="H15" s="130">
        <v>350000</v>
      </c>
      <c r="I15" s="130"/>
      <c r="J15" s="130">
        <v>10288</v>
      </c>
      <c r="K15" s="130">
        <v>101661</v>
      </c>
      <c r="L15" s="130">
        <v>63627</v>
      </c>
    </row>
    <row r="16" spans="2:15" ht="29.25" customHeight="1">
      <c r="B16" s="134" t="s">
        <v>135</v>
      </c>
      <c r="C16" s="203">
        <v>2300</v>
      </c>
      <c r="D16" s="203">
        <v>75000</v>
      </c>
      <c r="E16" s="203">
        <v>49000</v>
      </c>
      <c r="F16" s="203">
        <v>130000</v>
      </c>
      <c r="G16" s="203">
        <v>4900</v>
      </c>
      <c r="H16" s="203">
        <v>130000</v>
      </c>
      <c r="I16" s="203"/>
      <c r="J16" s="203">
        <v>26297</v>
      </c>
      <c r="K16" s="203">
        <v>48859</v>
      </c>
      <c r="L16" s="203">
        <v>45254</v>
      </c>
    </row>
    <row r="17" spans="2:14" ht="29.25" customHeight="1" thickBot="1">
      <c r="B17" s="135" t="s">
        <v>136</v>
      </c>
      <c r="C17" s="131">
        <v>3025</v>
      </c>
      <c r="D17" s="131">
        <v>65000</v>
      </c>
      <c r="E17" s="131">
        <v>33000</v>
      </c>
      <c r="F17" s="131">
        <v>170000</v>
      </c>
      <c r="G17" s="131">
        <v>33000</v>
      </c>
      <c r="H17" s="131">
        <v>130000</v>
      </c>
      <c r="I17" s="131"/>
      <c r="J17" s="131">
        <v>23390</v>
      </c>
      <c r="K17" s="131">
        <v>52190</v>
      </c>
      <c r="L17" s="131">
        <v>46957</v>
      </c>
    </row>
    <row r="18" spans="2:14" ht="15" customHeight="1" thickTop="1">
      <c r="B18" s="53"/>
      <c r="C18" s="53"/>
      <c r="D18" s="53"/>
      <c r="E18" s="53"/>
      <c r="F18" s="53"/>
      <c r="G18" s="53"/>
      <c r="H18" s="53"/>
      <c r="I18" s="53"/>
    </row>
    <row r="19" spans="2:14" ht="10.5" customHeight="1">
      <c r="B19" s="1067" t="s">
        <v>283</v>
      </c>
      <c r="C19" s="1067"/>
      <c r="D19" s="1067"/>
      <c r="E19" s="1067"/>
      <c r="F19" s="1067"/>
      <c r="G19" s="1067"/>
      <c r="H19" s="1067"/>
      <c r="I19" s="665"/>
    </row>
    <row r="20" spans="2:14" ht="32.25" customHeight="1">
      <c r="B20" s="665"/>
      <c r="C20" s="665"/>
      <c r="D20" s="665"/>
      <c r="E20" s="665"/>
      <c r="F20" s="665"/>
      <c r="G20" s="665"/>
      <c r="H20" s="665"/>
      <c r="I20" s="665"/>
    </row>
    <row r="21" spans="2:14" ht="15" customHeight="1"/>
    <row r="22" spans="2:14" ht="21" customHeight="1">
      <c r="B22" s="661" t="s">
        <v>287</v>
      </c>
      <c r="C22" s="661"/>
      <c r="D22" s="63"/>
      <c r="E22" s="661"/>
      <c r="F22" s="477"/>
      <c r="G22" s="477"/>
      <c r="H22" s="477"/>
      <c r="I22" s="477"/>
      <c r="J22" s="477"/>
      <c r="K22" s="477"/>
      <c r="L22" s="662">
        <v>47</v>
      </c>
      <c r="M22" s="18"/>
      <c r="N22" s="18"/>
    </row>
  </sheetData>
  <mergeCells count="14">
    <mergeCell ref="B19:H19"/>
    <mergeCell ref="J5:J6"/>
    <mergeCell ref="K5:K6"/>
    <mergeCell ref="B1:L1"/>
    <mergeCell ref="J3:L3"/>
    <mergeCell ref="C3:H3"/>
    <mergeCell ref="L5:L6"/>
    <mergeCell ref="B3:B6"/>
    <mergeCell ref="C4:D4"/>
    <mergeCell ref="E4:F4"/>
    <mergeCell ref="G4:H4"/>
    <mergeCell ref="C5:D5"/>
    <mergeCell ref="E5:F5"/>
    <mergeCell ref="G5:H5"/>
  </mergeCells>
  <printOptions horizontalCentered="1"/>
  <pageMargins left="0.7" right="0.7" top="0.5" bottom="0.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S53"/>
  <sheetViews>
    <sheetView rightToLeft="1" view="pageBreakPreview" topLeftCell="C15" zoomScale="130" zoomScaleSheetLayoutView="130" workbookViewId="0">
      <selection activeCell="B22" sqref="B22:I22"/>
    </sheetView>
  </sheetViews>
  <sheetFormatPr defaultRowHeight="14.25"/>
  <cols>
    <col min="1" max="1" width="1.125" customWidth="1"/>
    <col min="2" max="2" width="14.75" customWidth="1"/>
    <col min="3" max="3" width="19.75" customWidth="1"/>
    <col min="4" max="4" width="11.75" customWidth="1"/>
    <col min="5" max="6" width="11.75" style="18" customWidth="1"/>
    <col min="7" max="7" width="11.75" style="61" customWidth="1"/>
    <col min="8" max="8" width="1" style="18" customWidth="1"/>
    <col min="9" max="11" width="11.75" customWidth="1"/>
  </cols>
  <sheetData>
    <row r="1" spans="2:11" ht="30" customHeight="1">
      <c r="B1" s="1080" t="s">
        <v>478</v>
      </c>
      <c r="C1" s="1080"/>
      <c r="D1" s="1080"/>
      <c r="E1" s="1080"/>
      <c r="F1" s="1080"/>
      <c r="G1" s="1080"/>
      <c r="H1" s="1080"/>
      <c r="I1" s="1080"/>
      <c r="J1" s="1080"/>
      <c r="K1" s="1080"/>
    </row>
    <row r="2" spans="2:11" s="224" customFormat="1" ht="19.5" customHeight="1" thickBot="1">
      <c r="B2" s="1081" t="s">
        <v>488</v>
      </c>
      <c r="C2" s="1081"/>
      <c r="D2" s="1081"/>
      <c r="E2" s="1081"/>
      <c r="F2" s="1081"/>
      <c r="G2" s="1081"/>
      <c r="H2" s="1081"/>
      <c r="I2" s="1081"/>
      <c r="J2" s="1081"/>
      <c r="K2" s="1081"/>
    </row>
    <row r="3" spans="2:11" ht="27" customHeight="1" thickTop="1">
      <c r="B3" s="984" t="s">
        <v>140</v>
      </c>
      <c r="C3" s="984"/>
      <c r="D3" s="989" t="s">
        <v>141</v>
      </c>
      <c r="E3" s="988" t="s">
        <v>142</v>
      </c>
      <c r="F3" s="988"/>
      <c r="G3" s="988"/>
      <c r="H3" s="663"/>
      <c r="I3" s="988" t="s">
        <v>143</v>
      </c>
      <c r="J3" s="988"/>
      <c r="K3" s="988"/>
    </row>
    <row r="4" spans="2:11" ht="27" customHeight="1">
      <c r="B4" s="992"/>
      <c r="C4" s="992"/>
      <c r="D4" s="990"/>
      <c r="E4" s="275" t="s">
        <v>127</v>
      </c>
      <c r="F4" s="275" t="s">
        <v>128</v>
      </c>
      <c r="G4" s="275" t="s">
        <v>144</v>
      </c>
      <c r="H4" s="269"/>
      <c r="I4" s="275" t="s">
        <v>127</v>
      </c>
      <c r="J4" s="275" t="s">
        <v>128</v>
      </c>
      <c r="K4" s="275" t="s">
        <v>144</v>
      </c>
    </row>
    <row r="5" spans="2:11" ht="21" customHeight="1">
      <c r="B5" s="136" t="s">
        <v>145</v>
      </c>
      <c r="C5" s="182" t="s">
        <v>146</v>
      </c>
      <c r="D5" s="274"/>
      <c r="E5" s="216" t="s">
        <v>535</v>
      </c>
      <c r="F5" s="216" t="s">
        <v>535</v>
      </c>
      <c r="G5" s="216" t="s">
        <v>535</v>
      </c>
      <c r="H5" s="216"/>
      <c r="I5" s="216" t="s">
        <v>535</v>
      </c>
      <c r="J5" s="216" t="s">
        <v>535</v>
      </c>
      <c r="K5" s="216" t="s">
        <v>535</v>
      </c>
    </row>
    <row r="6" spans="2:11" ht="21" customHeight="1">
      <c r="B6" s="137" t="s">
        <v>147</v>
      </c>
      <c r="C6" s="183" t="s">
        <v>148</v>
      </c>
      <c r="D6" s="184" t="s">
        <v>149</v>
      </c>
      <c r="E6" s="217">
        <v>7</v>
      </c>
      <c r="F6" s="217">
        <v>36</v>
      </c>
      <c r="G6" s="217">
        <v>22</v>
      </c>
      <c r="H6" s="217"/>
      <c r="I6" s="217">
        <v>7</v>
      </c>
      <c r="J6" s="217">
        <v>35</v>
      </c>
      <c r="K6" s="217">
        <v>22</v>
      </c>
    </row>
    <row r="7" spans="2:11" ht="21" customHeight="1">
      <c r="B7" s="137" t="s">
        <v>150</v>
      </c>
      <c r="C7" s="183" t="s">
        <v>255</v>
      </c>
      <c r="D7" s="184" t="s">
        <v>256</v>
      </c>
      <c r="E7" s="217">
        <v>4</v>
      </c>
      <c r="F7" s="217">
        <v>1750</v>
      </c>
      <c r="G7" s="217">
        <v>49</v>
      </c>
      <c r="H7" s="217"/>
      <c r="I7" s="241">
        <v>0.2</v>
      </c>
      <c r="J7" s="241">
        <v>19.7</v>
      </c>
      <c r="K7" s="240">
        <v>2.1</v>
      </c>
    </row>
    <row r="8" spans="2:11" ht="21" customHeight="1">
      <c r="B8" s="137" t="s">
        <v>278</v>
      </c>
      <c r="C8" s="183" t="s">
        <v>152</v>
      </c>
      <c r="D8" s="273"/>
      <c r="E8" s="241">
        <v>7.49</v>
      </c>
      <c r="F8" s="241">
        <v>8.4</v>
      </c>
      <c r="G8" s="241">
        <v>7.96</v>
      </c>
      <c r="H8" s="241"/>
      <c r="I8" s="240">
        <v>6.9</v>
      </c>
      <c r="J8" s="241">
        <v>8.01</v>
      </c>
      <c r="K8" s="241">
        <v>7.55</v>
      </c>
    </row>
    <row r="9" spans="2:11" ht="21" customHeight="1">
      <c r="B9" s="137" t="s">
        <v>153</v>
      </c>
      <c r="C9" s="183" t="s">
        <v>248</v>
      </c>
      <c r="D9" s="184" t="s">
        <v>151</v>
      </c>
      <c r="E9" s="217">
        <v>96</v>
      </c>
      <c r="F9" s="217">
        <v>200</v>
      </c>
      <c r="G9" s="217">
        <v>147</v>
      </c>
      <c r="H9" s="217"/>
      <c r="I9" s="217">
        <v>94</v>
      </c>
      <c r="J9" s="217">
        <v>184</v>
      </c>
      <c r="K9" s="217">
        <v>139</v>
      </c>
    </row>
    <row r="10" spans="2:11" ht="21" customHeight="1">
      <c r="B10" s="137" t="s">
        <v>154</v>
      </c>
      <c r="C10" s="183" t="s">
        <v>249</v>
      </c>
      <c r="D10" s="184" t="s">
        <v>151</v>
      </c>
      <c r="E10" s="217">
        <v>204</v>
      </c>
      <c r="F10" s="217">
        <v>471</v>
      </c>
      <c r="G10" s="217">
        <v>321</v>
      </c>
      <c r="H10" s="217"/>
      <c r="I10" s="217">
        <v>209</v>
      </c>
      <c r="J10" s="217">
        <v>469</v>
      </c>
      <c r="K10" s="217">
        <v>322</v>
      </c>
    </row>
    <row r="11" spans="2:11" ht="21" customHeight="1">
      <c r="B11" s="137" t="s">
        <v>155</v>
      </c>
      <c r="C11" s="183" t="s">
        <v>156</v>
      </c>
      <c r="D11" s="184" t="s">
        <v>151</v>
      </c>
      <c r="E11" s="217">
        <v>46</v>
      </c>
      <c r="F11" s="217">
        <v>134</v>
      </c>
      <c r="G11" s="217">
        <v>81</v>
      </c>
      <c r="H11" s="217"/>
      <c r="I11" s="217">
        <v>47</v>
      </c>
      <c r="J11" s="217">
        <v>132</v>
      </c>
      <c r="K11" s="217">
        <v>81</v>
      </c>
    </row>
    <row r="12" spans="2:11" ht="21" customHeight="1">
      <c r="B12" s="137" t="s">
        <v>157</v>
      </c>
      <c r="C12" s="183" t="s">
        <v>158</v>
      </c>
      <c r="D12" s="184" t="s">
        <v>151</v>
      </c>
      <c r="E12" s="217">
        <v>13</v>
      </c>
      <c r="F12" s="217">
        <v>50</v>
      </c>
      <c r="G12" s="217">
        <v>29</v>
      </c>
      <c r="H12" s="217"/>
      <c r="I12" s="217">
        <v>14</v>
      </c>
      <c r="J12" s="217">
        <v>50</v>
      </c>
      <c r="K12" s="217">
        <v>29</v>
      </c>
    </row>
    <row r="13" spans="2:11" ht="21" customHeight="1">
      <c r="B13" s="137" t="s">
        <v>159</v>
      </c>
      <c r="C13" s="183" t="s">
        <v>160</v>
      </c>
      <c r="D13" s="184" t="s">
        <v>161</v>
      </c>
      <c r="E13" s="217">
        <v>22</v>
      </c>
      <c r="F13" s="217">
        <v>115</v>
      </c>
      <c r="G13" s="217">
        <v>68</v>
      </c>
      <c r="H13" s="217"/>
      <c r="I13" s="217">
        <v>22</v>
      </c>
      <c r="J13" s="217">
        <v>118</v>
      </c>
      <c r="K13" s="217">
        <v>70</v>
      </c>
    </row>
    <row r="14" spans="2:11" ht="21" customHeight="1">
      <c r="B14" s="137" t="s">
        <v>162</v>
      </c>
      <c r="C14" s="183" t="s">
        <v>163</v>
      </c>
      <c r="D14" s="184" t="s">
        <v>164</v>
      </c>
      <c r="E14" s="217">
        <v>470</v>
      </c>
      <c r="F14" s="217">
        <v>1298</v>
      </c>
      <c r="G14" s="217">
        <v>854</v>
      </c>
      <c r="H14" s="217"/>
      <c r="I14" s="217">
        <v>480</v>
      </c>
      <c r="J14" s="217">
        <v>1301</v>
      </c>
      <c r="K14" s="217">
        <v>859</v>
      </c>
    </row>
    <row r="15" spans="2:11" ht="21" customHeight="1">
      <c r="B15" s="137" t="s">
        <v>165</v>
      </c>
      <c r="C15" s="183" t="s">
        <v>166</v>
      </c>
      <c r="D15" s="184" t="s">
        <v>167</v>
      </c>
      <c r="E15" s="685" t="s">
        <v>536</v>
      </c>
      <c r="F15" s="241">
        <v>7.0000000000000007E-2</v>
      </c>
      <c r="G15" s="241">
        <v>0.01</v>
      </c>
      <c r="H15" s="217"/>
      <c r="I15" s="685" t="s">
        <v>536</v>
      </c>
      <c r="J15" s="241">
        <v>0.35</v>
      </c>
      <c r="K15" s="241">
        <v>0.08</v>
      </c>
    </row>
    <row r="16" spans="2:11" ht="21" customHeight="1">
      <c r="B16" s="133" t="s">
        <v>168</v>
      </c>
      <c r="C16" s="185" t="s">
        <v>169</v>
      </c>
      <c r="D16" s="184" t="s">
        <v>167</v>
      </c>
      <c r="E16" s="217">
        <v>290</v>
      </c>
      <c r="F16" s="217">
        <v>869</v>
      </c>
      <c r="G16" s="217">
        <v>570</v>
      </c>
      <c r="H16" s="217"/>
      <c r="I16" s="217">
        <v>300</v>
      </c>
      <c r="J16" s="217">
        <v>871</v>
      </c>
      <c r="K16" s="217">
        <v>573</v>
      </c>
    </row>
    <row r="17" spans="2:19" ht="21" customHeight="1">
      <c r="B17" s="137" t="s">
        <v>170</v>
      </c>
      <c r="C17" s="183" t="s">
        <v>171</v>
      </c>
      <c r="D17" s="184" t="s">
        <v>167</v>
      </c>
      <c r="E17" s="217">
        <v>8</v>
      </c>
      <c r="F17" s="217">
        <v>1800</v>
      </c>
      <c r="G17" s="217">
        <v>63</v>
      </c>
      <c r="H17" s="218"/>
      <c r="I17" s="272"/>
      <c r="J17" s="272"/>
      <c r="K17" s="272"/>
    </row>
    <row r="18" spans="2:19" ht="21" customHeight="1">
      <c r="B18" s="137" t="s">
        <v>244</v>
      </c>
      <c r="C18" s="183" t="s">
        <v>172</v>
      </c>
      <c r="D18" s="184" t="s">
        <v>167</v>
      </c>
      <c r="E18" s="241">
        <v>0.09</v>
      </c>
      <c r="F18" s="241">
        <v>10</v>
      </c>
      <c r="G18" s="241">
        <v>1.28</v>
      </c>
      <c r="H18" s="217"/>
      <c r="I18" s="685" t="s">
        <v>537</v>
      </c>
      <c r="J18" s="241">
        <v>1.4</v>
      </c>
      <c r="K18" s="241">
        <v>0.08</v>
      </c>
    </row>
    <row r="19" spans="2:19" ht="21" customHeight="1">
      <c r="B19" s="137" t="s">
        <v>173</v>
      </c>
      <c r="C19" s="183" t="s">
        <v>250</v>
      </c>
      <c r="D19" s="184" t="s">
        <v>167</v>
      </c>
      <c r="E19" s="217">
        <v>40</v>
      </c>
      <c r="F19" s="217">
        <v>396</v>
      </c>
      <c r="G19" s="217">
        <v>189</v>
      </c>
      <c r="H19" s="217"/>
      <c r="I19" s="217">
        <v>50</v>
      </c>
      <c r="J19" s="217">
        <v>372</v>
      </c>
      <c r="K19" s="217">
        <v>191</v>
      </c>
    </row>
    <row r="20" spans="2:19" ht="21" customHeight="1">
      <c r="B20" s="137" t="s">
        <v>174</v>
      </c>
      <c r="C20" s="183" t="s">
        <v>175</v>
      </c>
      <c r="D20" s="184" t="s">
        <v>167</v>
      </c>
      <c r="E20" s="241">
        <v>0.01</v>
      </c>
      <c r="F20" s="241">
        <v>0.25</v>
      </c>
      <c r="G20" s="241">
        <v>0.12</v>
      </c>
      <c r="H20" s="241"/>
      <c r="I20" s="241">
        <v>0.01</v>
      </c>
      <c r="J20" s="241">
        <v>0.19</v>
      </c>
      <c r="K20" s="241">
        <v>7.0000000000000007E-2</v>
      </c>
    </row>
    <row r="21" spans="2:19" ht="21" customHeight="1" thickBot="1">
      <c r="B21" s="138" t="s">
        <v>176</v>
      </c>
      <c r="C21" s="186" t="s">
        <v>257</v>
      </c>
      <c r="D21" s="187" t="s">
        <v>167</v>
      </c>
      <c r="E21" s="919" t="s">
        <v>536</v>
      </c>
      <c r="F21" s="242">
        <v>1.48</v>
      </c>
      <c r="G21" s="242">
        <v>0.11</v>
      </c>
      <c r="H21" s="219"/>
      <c r="I21" s="686" t="s">
        <v>536</v>
      </c>
      <c r="J21" s="242">
        <v>0.41</v>
      </c>
      <c r="K21" s="242">
        <v>0.02</v>
      </c>
    </row>
    <row r="22" spans="2:19" ht="18" customHeight="1" thickTop="1">
      <c r="B22" s="1078" t="s">
        <v>279</v>
      </c>
      <c r="C22" s="1078"/>
      <c r="D22" s="1078"/>
      <c r="E22" s="1078"/>
      <c r="F22" s="1078"/>
      <c r="G22" s="1078"/>
      <c r="H22" s="1078"/>
      <c r="I22" s="1078"/>
      <c r="K22" s="50" t="s">
        <v>121</v>
      </c>
    </row>
    <row r="23" spans="2:19" ht="15" customHeight="1">
      <c r="B23" s="1078" t="s">
        <v>280</v>
      </c>
      <c r="C23" s="1078"/>
      <c r="D23" s="1078"/>
      <c r="E23" s="1078"/>
      <c r="F23" s="1078"/>
      <c r="G23" s="1078"/>
      <c r="H23" s="1078"/>
      <c r="I23" s="1078"/>
      <c r="J23" s="57"/>
      <c r="K23" s="58"/>
    </row>
    <row r="24" spans="2:19" ht="14.25" customHeight="1">
      <c r="B24" s="1079"/>
      <c r="C24" s="1079"/>
      <c r="D24" s="1079"/>
      <c r="E24" s="1079"/>
      <c r="F24" s="1079"/>
      <c r="G24" s="1079"/>
      <c r="H24" s="1079"/>
      <c r="I24" s="1079"/>
      <c r="J24" s="1079"/>
      <c r="K24" s="1079"/>
    </row>
    <row r="25" spans="2:19" ht="3.75" hidden="1" customHeight="1">
      <c r="B25" s="667"/>
      <c r="C25" s="667"/>
      <c r="D25" s="667"/>
      <c r="E25" s="667"/>
      <c r="F25" s="667"/>
      <c r="G25" s="667"/>
      <c r="H25" s="667"/>
      <c r="I25" s="667"/>
      <c r="J25" s="667"/>
      <c r="K25" s="667"/>
    </row>
    <row r="26" spans="2:19" ht="5.25" hidden="1" customHeight="1">
      <c r="B26" s="667"/>
      <c r="C26" s="667"/>
      <c r="D26" s="667"/>
      <c r="E26" s="667"/>
      <c r="F26" s="667"/>
      <c r="G26" s="667"/>
      <c r="H26" s="667"/>
      <c r="I26" s="667"/>
      <c r="J26" s="667"/>
      <c r="K26" s="667"/>
    </row>
    <row r="27" spans="2:19" ht="9.75" customHeight="1">
      <c r="B27" s="59"/>
      <c r="C27" s="60"/>
      <c r="D27" s="60"/>
      <c r="E27" s="60"/>
      <c r="F27" s="60"/>
      <c r="G27" s="60"/>
      <c r="H27" s="60"/>
      <c r="I27" s="60"/>
      <c r="J27" s="56"/>
      <c r="K27" s="56"/>
    </row>
    <row r="28" spans="2:19" ht="24" customHeight="1">
      <c r="B28" s="661" t="s">
        <v>287</v>
      </c>
      <c r="C28" s="661"/>
      <c r="D28" s="982"/>
      <c r="E28" s="982"/>
      <c r="F28" s="982"/>
      <c r="G28" s="982"/>
      <c r="H28" s="223"/>
      <c r="I28" s="223"/>
      <c r="J28" s="223"/>
      <c r="K28" s="662">
        <v>48</v>
      </c>
      <c r="L28" s="9"/>
      <c r="M28" s="9"/>
      <c r="N28" s="9"/>
      <c r="O28" s="9"/>
      <c r="P28" s="9"/>
      <c r="Q28" s="9"/>
      <c r="S28" s="12"/>
    </row>
    <row r="29" spans="2:19" ht="30" customHeight="1">
      <c r="B29" s="1080" t="s">
        <v>478</v>
      </c>
      <c r="C29" s="1080"/>
      <c r="D29" s="1080"/>
      <c r="E29" s="1080"/>
      <c r="F29" s="1080"/>
      <c r="G29" s="1080"/>
      <c r="H29" s="1080"/>
      <c r="I29" s="1080"/>
      <c r="J29" s="1080"/>
      <c r="K29" s="1080"/>
    </row>
    <row r="30" spans="2:19" s="224" customFormat="1" ht="27" customHeight="1" thickBot="1">
      <c r="B30" s="1081" t="s">
        <v>489</v>
      </c>
      <c r="C30" s="1081"/>
      <c r="D30" s="1081"/>
      <c r="E30" s="1081"/>
      <c r="F30" s="1081"/>
      <c r="G30" s="1081"/>
      <c r="H30" s="1081"/>
      <c r="I30" s="1081"/>
      <c r="J30" s="1081"/>
      <c r="K30" s="1081"/>
    </row>
    <row r="31" spans="2:19" ht="27.75" customHeight="1" thickTop="1">
      <c r="B31" s="984" t="s">
        <v>140</v>
      </c>
      <c r="C31" s="984"/>
      <c r="D31" s="984" t="s">
        <v>141</v>
      </c>
      <c r="E31" s="988" t="s">
        <v>142</v>
      </c>
      <c r="F31" s="988"/>
      <c r="G31" s="988"/>
      <c r="H31" s="664"/>
      <c r="I31" s="988" t="s">
        <v>143</v>
      </c>
      <c r="J31" s="988"/>
      <c r="K31" s="988"/>
    </row>
    <row r="32" spans="2:19" ht="27" customHeight="1">
      <c r="B32" s="992"/>
      <c r="C32" s="992"/>
      <c r="D32" s="992"/>
      <c r="E32" s="271" t="s">
        <v>127</v>
      </c>
      <c r="F32" s="271" t="s">
        <v>128</v>
      </c>
      <c r="G32" s="271" t="s">
        <v>144</v>
      </c>
      <c r="H32" s="270"/>
      <c r="I32" s="271" t="s">
        <v>127</v>
      </c>
      <c r="J32" s="271" t="s">
        <v>128</v>
      </c>
      <c r="K32" s="271" t="s">
        <v>144</v>
      </c>
    </row>
    <row r="33" spans="2:11" ht="21" customHeight="1">
      <c r="B33" s="137" t="s">
        <v>177</v>
      </c>
      <c r="C33" s="183" t="s">
        <v>258</v>
      </c>
      <c r="D33" s="184" t="s">
        <v>167</v>
      </c>
      <c r="E33" s="208" t="s">
        <v>326</v>
      </c>
      <c r="F33" s="145">
        <v>4.8000000000000001E-2</v>
      </c>
      <c r="G33" s="139">
        <v>8.0000000000000002E-3</v>
      </c>
      <c r="H33" s="139"/>
      <c r="I33" s="208" t="s">
        <v>326</v>
      </c>
      <c r="J33" s="145">
        <v>0.01</v>
      </c>
      <c r="K33" s="139">
        <v>2E-3</v>
      </c>
    </row>
    <row r="34" spans="2:11" ht="21" customHeight="1">
      <c r="B34" s="137" t="s">
        <v>178</v>
      </c>
      <c r="C34" s="183" t="s">
        <v>259</v>
      </c>
      <c r="D34" s="184" t="s">
        <v>167</v>
      </c>
      <c r="E34" s="140">
        <v>0.11</v>
      </c>
      <c r="F34" s="140">
        <v>1.95</v>
      </c>
      <c r="G34" s="140">
        <v>0.79</v>
      </c>
      <c r="H34" s="140"/>
      <c r="I34" s="140">
        <v>0.09</v>
      </c>
      <c r="J34" s="140">
        <v>2</v>
      </c>
      <c r="K34" s="140">
        <v>0.85</v>
      </c>
    </row>
    <row r="35" spans="2:11" ht="21" customHeight="1">
      <c r="B35" s="137" t="s">
        <v>179</v>
      </c>
      <c r="C35" s="183" t="s">
        <v>260</v>
      </c>
      <c r="D35" s="184" t="s">
        <v>167</v>
      </c>
      <c r="E35" s="139">
        <v>1.3</v>
      </c>
      <c r="F35" s="141">
        <v>9.3000000000000007</v>
      </c>
      <c r="G35" s="141">
        <v>4.5</v>
      </c>
      <c r="H35" s="139"/>
      <c r="I35" s="141">
        <v>1</v>
      </c>
      <c r="J35" s="141">
        <v>9.1999999999999993</v>
      </c>
      <c r="K35" s="141">
        <v>4.2</v>
      </c>
    </row>
    <row r="36" spans="2:11" ht="21" customHeight="1">
      <c r="B36" s="133" t="s">
        <v>180</v>
      </c>
      <c r="C36" s="183" t="s">
        <v>261</v>
      </c>
      <c r="D36" s="184" t="s">
        <v>167</v>
      </c>
      <c r="E36" s="208" t="s">
        <v>325</v>
      </c>
      <c r="F36" s="140">
        <v>0.48</v>
      </c>
      <c r="G36" s="139">
        <v>0.04</v>
      </c>
      <c r="H36" s="139"/>
      <c r="I36" s="208" t="s">
        <v>325</v>
      </c>
      <c r="J36" s="139">
        <v>0.54</v>
      </c>
      <c r="K36" s="139">
        <v>0.03</v>
      </c>
    </row>
    <row r="37" spans="2:11" ht="21" customHeight="1">
      <c r="B37" s="142" t="s">
        <v>181</v>
      </c>
      <c r="C37" s="183" t="s">
        <v>182</v>
      </c>
      <c r="D37" s="184" t="s">
        <v>167</v>
      </c>
      <c r="E37" s="208" t="s">
        <v>327</v>
      </c>
      <c r="F37" s="208" t="s">
        <v>327</v>
      </c>
      <c r="G37" s="208" t="s">
        <v>327</v>
      </c>
      <c r="H37" s="208"/>
      <c r="I37" s="208" t="s">
        <v>327</v>
      </c>
      <c r="J37" s="208" t="s">
        <v>327</v>
      </c>
      <c r="K37" s="208" t="s">
        <v>327</v>
      </c>
    </row>
    <row r="38" spans="2:11" ht="21" customHeight="1">
      <c r="B38" s="133" t="s">
        <v>183</v>
      </c>
      <c r="C38" s="183" t="s">
        <v>184</v>
      </c>
      <c r="D38" s="184" t="s">
        <v>167</v>
      </c>
      <c r="E38" s="208" t="s">
        <v>325</v>
      </c>
      <c r="F38" s="208" t="s">
        <v>325</v>
      </c>
      <c r="G38" s="208" t="s">
        <v>325</v>
      </c>
      <c r="H38" s="208"/>
      <c r="I38" s="208" t="s">
        <v>325</v>
      </c>
      <c r="J38" s="208" t="s">
        <v>325</v>
      </c>
      <c r="K38" s="208" t="s">
        <v>325</v>
      </c>
    </row>
    <row r="39" spans="2:11" ht="21" customHeight="1">
      <c r="B39" s="133" t="s">
        <v>185</v>
      </c>
      <c r="C39" s="183" t="s">
        <v>186</v>
      </c>
      <c r="D39" s="184" t="s">
        <v>167</v>
      </c>
      <c r="E39" s="208" t="s">
        <v>328</v>
      </c>
      <c r="F39" s="139">
        <v>0.09</v>
      </c>
      <c r="G39" s="139">
        <v>0.03</v>
      </c>
      <c r="H39" s="139"/>
      <c r="I39" s="208" t="s">
        <v>328</v>
      </c>
      <c r="J39" s="243">
        <v>0.04</v>
      </c>
      <c r="K39" s="243">
        <v>0.01</v>
      </c>
    </row>
    <row r="40" spans="2:11" ht="21" customHeight="1">
      <c r="B40" s="143" t="s">
        <v>187</v>
      </c>
      <c r="C40" s="183" t="s">
        <v>188</v>
      </c>
      <c r="D40" s="184" t="s">
        <v>167</v>
      </c>
      <c r="E40" s="208" t="s">
        <v>328</v>
      </c>
      <c r="F40" s="208" t="s">
        <v>328</v>
      </c>
      <c r="G40" s="208" t="s">
        <v>328</v>
      </c>
      <c r="H40" s="208"/>
      <c r="I40" s="208" t="s">
        <v>328</v>
      </c>
      <c r="J40" s="208" t="s">
        <v>328</v>
      </c>
      <c r="K40" s="208" t="s">
        <v>328</v>
      </c>
    </row>
    <row r="41" spans="2:11" ht="21" customHeight="1">
      <c r="B41" s="144" t="s">
        <v>189</v>
      </c>
      <c r="C41" s="183" t="s">
        <v>190</v>
      </c>
      <c r="D41" s="184" t="s">
        <v>167</v>
      </c>
      <c r="E41" s="208" t="s">
        <v>538</v>
      </c>
      <c r="F41" s="145">
        <v>2.5000000000000001E-2</v>
      </c>
      <c r="G41" s="145">
        <v>0.01</v>
      </c>
      <c r="H41" s="139"/>
      <c r="I41" s="208" t="s">
        <v>538</v>
      </c>
      <c r="J41" s="145">
        <v>2.5000000000000001E-2</v>
      </c>
      <c r="K41" s="243">
        <v>6.0000000000000001E-3</v>
      </c>
    </row>
    <row r="42" spans="2:11" ht="21" customHeight="1">
      <c r="B42" s="144" t="s">
        <v>191</v>
      </c>
      <c r="C42" s="183" t="s">
        <v>192</v>
      </c>
      <c r="D42" s="184" t="s">
        <v>167</v>
      </c>
      <c r="E42" s="208" t="s">
        <v>539</v>
      </c>
      <c r="F42" s="208" t="s">
        <v>539</v>
      </c>
      <c r="G42" s="208" t="s">
        <v>539</v>
      </c>
      <c r="H42" s="208"/>
      <c r="I42" s="208" t="s">
        <v>539</v>
      </c>
      <c r="J42" s="208" t="s">
        <v>539</v>
      </c>
      <c r="K42" s="208" t="s">
        <v>539</v>
      </c>
    </row>
    <row r="43" spans="2:11" ht="21" customHeight="1">
      <c r="B43" s="144" t="s">
        <v>193</v>
      </c>
      <c r="C43" s="183" t="s">
        <v>194</v>
      </c>
      <c r="D43" s="184" t="s">
        <v>167</v>
      </c>
      <c r="E43" s="139">
        <v>12.9</v>
      </c>
      <c r="F43" s="139">
        <v>65</v>
      </c>
      <c r="G43" s="139">
        <v>46.2</v>
      </c>
      <c r="H43" s="139"/>
      <c r="I43" s="139">
        <v>14.5</v>
      </c>
      <c r="J43" s="139">
        <v>69</v>
      </c>
      <c r="K43" s="139">
        <v>49.8</v>
      </c>
    </row>
    <row r="44" spans="2:11" ht="21" customHeight="1">
      <c r="B44" s="144" t="s">
        <v>195</v>
      </c>
      <c r="C44" s="183" t="s">
        <v>196</v>
      </c>
      <c r="D44" s="184" t="s">
        <v>167</v>
      </c>
      <c r="E44" s="140">
        <v>1.7</v>
      </c>
      <c r="F44" s="140">
        <v>3.9</v>
      </c>
      <c r="G44" s="140">
        <v>2.59</v>
      </c>
      <c r="H44" s="140"/>
      <c r="I44" s="140">
        <v>1.59</v>
      </c>
      <c r="J44" s="140">
        <v>3.8</v>
      </c>
      <c r="K44" s="139">
        <v>2.63</v>
      </c>
    </row>
    <row r="45" spans="2:11" ht="21" customHeight="1">
      <c r="B45" s="144" t="s">
        <v>197</v>
      </c>
      <c r="C45" s="183" t="s">
        <v>198</v>
      </c>
      <c r="D45" s="184" t="s">
        <v>167</v>
      </c>
      <c r="E45" s="208" t="s">
        <v>538</v>
      </c>
      <c r="F45" s="208" t="s">
        <v>538</v>
      </c>
      <c r="G45" s="208" t="s">
        <v>538</v>
      </c>
      <c r="H45" s="208"/>
      <c r="I45" s="208" t="s">
        <v>538</v>
      </c>
      <c r="J45" s="208" t="s">
        <v>538</v>
      </c>
      <c r="K45" s="208" t="s">
        <v>538</v>
      </c>
    </row>
    <row r="46" spans="2:11" ht="21" customHeight="1" thickBot="1">
      <c r="B46" s="318" t="s">
        <v>199</v>
      </c>
      <c r="C46" s="183" t="s">
        <v>200</v>
      </c>
      <c r="D46" s="184" t="s">
        <v>167</v>
      </c>
      <c r="E46" s="208" t="s">
        <v>326</v>
      </c>
      <c r="F46" s="208" t="s">
        <v>326</v>
      </c>
      <c r="G46" s="208" t="s">
        <v>326</v>
      </c>
      <c r="H46" s="319"/>
      <c r="I46" s="208" t="s">
        <v>326</v>
      </c>
      <c r="J46" s="208" t="s">
        <v>326</v>
      </c>
      <c r="K46" s="208" t="s">
        <v>326</v>
      </c>
    </row>
    <row r="47" spans="2:11" ht="7.5" customHeight="1" thickTop="1">
      <c r="B47" s="320"/>
      <c r="C47" s="321"/>
      <c r="D47" s="322"/>
      <c r="E47" s="323"/>
      <c r="F47" s="323"/>
      <c r="G47" s="323"/>
      <c r="H47" s="323"/>
      <c r="I47" s="323"/>
      <c r="J47" s="323"/>
      <c r="K47" s="323"/>
    </row>
    <row r="48" spans="2:11" ht="19.5" customHeight="1">
      <c r="B48" s="1078" t="s">
        <v>280</v>
      </c>
      <c r="C48" s="1078"/>
      <c r="D48" s="1078"/>
      <c r="E48" s="1078"/>
      <c r="F48" s="1078"/>
      <c r="G48" s="1078"/>
      <c r="H48" s="1078"/>
      <c r="I48" s="1078"/>
    </row>
    <row r="49" spans="2:19" ht="19.5" customHeight="1">
      <c r="G49" s="18"/>
      <c r="I49" s="18"/>
      <c r="J49" s="57"/>
      <c r="K49" s="58"/>
    </row>
    <row r="50" spans="2:19" ht="29.25" customHeight="1">
      <c r="B50" s="1079"/>
      <c r="C50" s="1079"/>
      <c r="D50" s="1079"/>
      <c r="E50" s="1079"/>
      <c r="F50" s="1079"/>
      <c r="G50" s="1079"/>
      <c r="H50" s="1079"/>
      <c r="I50" s="1079"/>
      <c r="J50" s="1079"/>
      <c r="K50" s="1079"/>
    </row>
    <row r="51" spans="2:19" ht="19.5" customHeight="1">
      <c r="B51" s="667"/>
      <c r="C51" s="667"/>
      <c r="D51" s="667"/>
      <c r="E51" s="667"/>
      <c r="F51" s="667"/>
      <c r="G51" s="667"/>
      <c r="H51" s="667"/>
      <c r="I51" s="667"/>
      <c r="J51" s="667"/>
      <c r="K51" s="667"/>
    </row>
    <row r="52" spans="2:19" ht="19.5" customHeight="1">
      <c r="B52" s="59"/>
      <c r="C52" s="60"/>
      <c r="D52" s="60"/>
      <c r="E52" s="60"/>
      <c r="F52" s="60"/>
      <c r="G52" s="60"/>
      <c r="H52" s="60"/>
      <c r="I52" s="60"/>
      <c r="J52" s="56"/>
      <c r="K52" s="56"/>
    </row>
    <row r="53" spans="2:19" ht="22.5" customHeight="1">
      <c r="B53" s="661" t="s">
        <v>287</v>
      </c>
      <c r="C53" s="661"/>
      <c r="D53" s="982"/>
      <c r="E53" s="982"/>
      <c r="F53" s="982"/>
      <c r="G53" s="982"/>
      <c r="H53" s="223"/>
      <c r="I53" s="223"/>
      <c r="J53" s="223"/>
      <c r="K53" s="662">
        <v>49</v>
      </c>
      <c r="L53" s="9"/>
      <c r="M53" s="9"/>
      <c r="N53" s="9"/>
      <c r="O53" s="9"/>
      <c r="P53" s="9"/>
      <c r="Q53" s="9"/>
      <c r="S53" s="12"/>
    </row>
  </sheetData>
  <mergeCells count="19">
    <mergeCell ref="B22:I22"/>
    <mergeCell ref="B1:K1"/>
    <mergeCell ref="B2:K2"/>
    <mergeCell ref="B3:C4"/>
    <mergeCell ref="D3:D4"/>
    <mergeCell ref="E3:G3"/>
    <mergeCell ref="I3:K3"/>
    <mergeCell ref="B31:C32"/>
    <mergeCell ref="D31:D32"/>
    <mergeCell ref="D28:G28"/>
    <mergeCell ref="D53:G53"/>
    <mergeCell ref="B23:I23"/>
    <mergeCell ref="B24:K24"/>
    <mergeCell ref="E31:G31"/>
    <mergeCell ref="I31:K31"/>
    <mergeCell ref="B48:I48"/>
    <mergeCell ref="B50:K50"/>
    <mergeCell ref="B29:K29"/>
    <mergeCell ref="B30:K30"/>
  </mergeCells>
  <printOptions horizontalCentered="1"/>
  <pageMargins left="0.43307086614173229" right="0.43307086614173229" top="0.59055118110236227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CJ38"/>
  <sheetViews>
    <sheetView rightToLeft="1" view="pageBreakPreview" topLeftCell="BT1" zoomScaleNormal="90" zoomScaleSheetLayoutView="100" workbookViewId="0">
      <selection activeCell="CB8" sqref="BZ7:CB8"/>
    </sheetView>
  </sheetViews>
  <sheetFormatPr defaultRowHeight="14.25"/>
  <cols>
    <col min="2" max="2" width="9.75" customWidth="1"/>
    <col min="3" max="3" width="11" customWidth="1"/>
    <col min="4" max="4" width="7.625" customWidth="1"/>
    <col min="5" max="7" width="8.625" customWidth="1"/>
    <col min="8" max="8" width="2.125" customWidth="1"/>
    <col min="9" max="9" width="8.625" customWidth="1"/>
    <col min="10" max="10" width="8.125" customWidth="1"/>
    <col min="11" max="11" width="8.625" customWidth="1"/>
    <col min="13" max="13" width="9.75" customWidth="1"/>
    <col min="14" max="14" width="8.625" customWidth="1"/>
    <col min="15" max="15" width="7.625" customWidth="1"/>
    <col min="16" max="16" width="8.625" customWidth="1"/>
    <col min="17" max="17" width="8.625" style="697" customWidth="1"/>
    <col min="18" max="18" width="8.625" customWidth="1"/>
    <col min="19" max="19" width="2.125" customWidth="1"/>
    <col min="20" max="20" width="8.625" customWidth="1"/>
    <col min="21" max="21" width="10.375" style="697" customWidth="1"/>
    <col min="22" max="22" width="8.625" customWidth="1"/>
    <col min="24" max="24" width="8.75" customWidth="1"/>
    <col min="25" max="25" width="12.75" customWidth="1"/>
    <col min="26" max="26" width="7.625" customWidth="1"/>
    <col min="27" max="29" width="8.625" customWidth="1"/>
    <col min="30" max="30" width="2.125" customWidth="1"/>
    <col min="31" max="33" width="8.625" customWidth="1"/>
    <col min="35" max="35" width="7.875" customWidth="1"/>
    <col min="36" max="36" width="11.625" customWidth="1"/>
    <col min="37" max="37" width="7.625" customWidth="1"/>
    <col min="38" max="40" width="8.625" customWidth="1"/>
    <col min="41" max="41" width="2.125" customWidth="1"/>
    <col min="42" max="44" width="8.625" customWidth="1"/>
    <col min="46" max="46" width="5.375" customWidth="1"/>
    <col min="47" max="47" width="11.125" customWidth="1"/>
    <col min="48" max="48" width="10.375" customWidth="1"/>
    <col min="49" max="51" width="8.625" customWidth="1"/>
    <col min="52" max="52" width="2.125" customWidth="1"/>
    <col min="53" max="55" width="8.625" customWidth="1"/>
    <col min="57" max="57" width="8.25" customWidth="1"/>
    <col min="58" max="58" width="8.625" customWidth="1"/>
    <col min="59" max="59" width="9" customWidth="1"/>
    <col min="60" max="62" width="8.625" customWidth="1"/>
    <col min="63" max="63" width="2.125" customWidth="1"/>
    <col min="64" max="66" width="8.625" customWidth="1"/>
    <col min="68" max="68" width="9" customWidth="1"/>
    <col min="69" max="69" width="9.875" customWidth="1"/>
    <col min="70" max="70" width="7.625" customWidth="1"/>
    <col min="71" max="73" width="8.625" customWidth="1"/>
    <col min="74" max="74" width="2.125" customWidth="1"/>
    <col min="75" max="77" width="8.625" customWidth="1"/>
    <col min="79" max="79" width="8.75" customWidth="1"/>
    <col min="80" max="80" width="10.375" customWidth="1"/>
    <col min="81" max="81" width="7.625" customWidth="1"/>
    <col min="82" max="84" width="8.625" customWidth="1"/>
    <col min="85" max="85" width="2.125" customWidth="1"/>
    <col min="86" max="88" width="8.625" customWidth="1"/>
  </cols>
  <sheetData>
    <row r="1" spans="1:88" ht="21" customHeight="1">
      <c r="A1" s="996" t="s">
        <v>739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 t="s">
        <v>739</v>
      </c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 t="s">
        <v>739</v>
      </c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 t="s">
        <v>739</v>
      </c>
      <c r="AI1" s="996"/>
      <c r="AJ1" s="996"/>
      <c r="AK1" s="996"/>
      <c r="AL1" s="996"/>
      <c r="AM1" s="996"/>
      <c r="AN1" s="996"/>
      <c r="AO1" s="996"/>
      <c r="AP1" s="996"/>
      <c r="AQ1" s="996"/>
      <c r="AR1" s="996"/>
      <c r="AS1" s="996" t="s">
        <v>739</v>
      </c>
      <c r="AT1" s="996"/>
      <c r="AU1" s="996"/>
      <c r="AV1" s="996"/>
      <c r="AW1" s="996"/>
      <c r="AX1" s="996"/>
      <c r="AY1" s="996"/>
      <c r="AZ1" s="996"/>
      <c r="BA1" s="996"/>
      <c r="BB1" s="996"/>
      <c r="BC1" s="996"/>
      <c r="BD1" s="996" t="s">
        <v>739</v>
      </c>
      <c r="BE1" s="996"/>
      <c r="BF1" s="996"/>
      <c r="BG1" s="996"/>
      <c r="BH1" s="996"/>
      <c r="BI1" s="996"/>
      <c r="BJ1" s="996"/>
      <c r="BK1" s="996"/>
      <c r="BL1" s="996"/>
      <c r="BM1" s="996"/>
      <c r="BN1" s="996"/>
      <c r="BO1" s="996" t="s">
        <v>739</v>
      </c>
      <c r="BP1" s="996"/>
      <c r="BQ1" s="996"/>
      <c r="BR1" s="996"/>
      <c r="BS1" s="996"/>
      <c r="BT1" s="996"/>
      <c r="BU1" s="996"/>
      <c r="BV1" s="996"/>
      <c r="BW1" s="996"/>
      <c r="BX1" s="996"/>
      <c r="BY1" s="996"/>
      <c r="BZ1" s="996" t="s">
        <v>739</v>
      </c>
      <c r="CA1" s="996"/>
      <c r="CB1" s="996"/>
      <c r="CC1" s="996"/>
      <c r="CD1" s="996"/>
      <c r="CE1" s="996"/>
      <c r="CF1" s="996"/>
      <c r="CG1" s="996"/>
      <c r="CH1" s="996"/>
      <c r="CI1" s="996"/>
      <c r="CJ1" s="996"/>
    </row>
    <row r="2" spans="1:88" ht="21" customHeight="1">
      <c r="A2" s="996" t="s">
        <v>104</v>
      </c>
      <c r="B2" s="996"/>
      <c r="C2" s="996"/>
      <c r="D2" s="996"/>
      <c r="E2" s="996"/>
      <c r="F2" s="996"/>
      <c r="G2" s="996"/>
      <c r="H2" s="996"/>
      <c r="I2" s="996"/>
      <c r="J2" s="996"/>
      <c r="K2" s="996"/>
      <c r="L2" s="996" t="s">
        <v>106</v>
      </c>
      <c r="M2" s="996"/>
      <c r="N2" s="996"/>
      <c r="O2" s="996"/>
      <c r="P2" s="996"/>
      <c r="Q2" s="996"/>
      <c r="R2" s="996"/>
      <c r="S2" s="996"/>
      <c r="T2" s="996"/>
      <c r="U2" s="996"/>
      <c r="V2" s="996"/>
      <c r="W2" s="996" t="s">
        <v>60</v>
      </c>
      <c r="X2" s="996"/>
      <c r="Y2" s="996"/>
      <c r="Z2" s="996"/>
      <c r="AA2" s="996"/>
      <c r="AB2" s="996"/>
      <c r="AC2" s="996"/>
      <c r="AD2" s="996"/>
      <c r="AE2" s="996"/>
      <c r="AF2" s="996"/>
      <c r="AG2" s="996"/>
      <c r="AH2" s="996" t="s">
        <v>102</v>
      </c>
      <c r="AI2" s="996"/>
      <c r="AJ2" s="996"/>
      <c r="AK2" s="996"/>
      <c r="AL2" s="996"/>
      <c r="AM2" s="996"/>
      <c r="AN2" s="996"/>
      <c r="AO2" s="996"/>
      <c r="AP2" s="996"/>
      <c r="AQ2" s="996"/>
      <c r="AR2" s="996"/>
      <c r="AS2" s="996" t="s">
        <v>107</v>
      </c>
      <c r="AT2" s="996"/>
      <c r="AU2" s="996"/>
      <c r="AV2" s="996"/>
      <c r="AW2" s="996"/>
      <c r="AX2" s="996"/>
      <c r="AY2" s="996"/>
      <c r="AZ2" s="996"/>
      <c r="BA2" s="996"/>
      <c r="BB2" s="996"/>
      <c r="BC2" s="996"/>
      <c r="BD2" s="996" t="s">
        <v>112</v>
      </c>
      <c r="BE2" s="996"/>
      <c r="BF2" s="996"/>
      <c r="BG2" s="996"/>
      <c r="BH2" s="996"/>
      <c r="BI2" s="996"/>
      <c r="BJ2" s="996"/>
      <c r="BK2" s="996"/>
      <c r="BL2" s="996"/>
      <c r="BM2" s="996"/>
      <c r="BN2" s="996"/>
      <c r="BO2" s="996" t="s">
        <v>114</v>
      </c>
      <c r="BP2" s="996"/>
      <c r="BQ2" s="996"/>
      <c r="BR2" s="996"/>
      <c r="BS2" s="996"/>
      <c r="BT2" s="996"/>
      <c r="BU2" s="996"/>
      <c r="BV2" s="996"/>
      <c r="BW2" s="996"/>
      <c r="BX2" s="996"/>
      <c r="BY2" s="996"/>
      <c r="BZ2" s="996" t="s">
        <v>116</v>
      </c>
      <c r="CA2" s="996"/>
      <c r="CB2" s="996"/>
      <c r="CC2" s="996"/>
      <c r="CD2" s="996"/>
      <c r="CE2" s="996"/>
      <c r="CF2" s="996"/>
      <c r="CG2" s="996"/>
      <c r="CH2" s="996"/>
      <c r="CI2" s="996"/>
      <c r="CJ2" s="996"/>
    </row>
    <row r="3" spans="1:88" s="225" customFormat="1" ht="20.25" customHeight="1" thickBot="1">
      <c r="A3" s="986" t="s">
        <v>490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 t="s">
        <v>491</v>
      </c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 t="s">
        <v>491</v>
      </c>
      <c r="X3" s="986"/>
      <c r="Y3" s="986"/>
      <c r="Z3" s="986"/>
      <c r="AA3" s="986"/>
      <c r="AB3" s="986"/>
      <c r="AC3" s="986"/>
      <c r="AD3" s="986"/>
      <c r="AE3" s="986"/>
      <c r="AF3" s="986"/>
      <c r="AG3" s="986"/>
      <c r="AH3" s="986" t="s">
        <v>491</v>
      </c>
      <c r="AI3" s="986"/>
      <c r="AJ3" s="986"/>
      <c r="AK3" s="986"/>
      <c r="AL3" s="986"/>
      <c r="AM3" s="986"/>
      <c r="AN3" s="986"/>
      <c r="AO3" s="986"/>
      <c r="AP3" s="986"/>
      <c r="AQ3" s="986"/>
      <c r="AR3" s="986"/>
      <c r="AS3" s="986" t="s">
        <v>491</v>
      </c>
      <c r="AT3" s="986"/>
      <c r="AU3" s="986"/>
      <c r="AV3" s="986"/>
      <c r="AW3" s="986"/>
      <c r="AX3" s="986"/>
      <c r="AY3" s="986"/>
      <c r="AZ3" s="986"/>
      <c r="BA3" s="986"/>
      <c r="BB3" s="986"/>
      <c r="BC3" s="986"/>
      <c r="BD3" s="986" t="s">
        <v>491</v>
      </c>
      <c r="BE3" s="986"/>
      <c r="BF3" s="986"/>
      <c r="BG3" s="986"/>
      <c r="BH3" s="986"/>
      <c r="BI3" s="986"/>
      <c r="BJ3" s="986"/>
      <c r="BK3" s="986"/>
      <c r="BL3" s="986"/>
      <c r="BM3" s="986"/>
      <c r="BN3" s="986"/>
      <c r="BO3" s="986" t="s">
        <v>491</v>
      </c>
      <c r="BP3" s="986"/>
      <c r="BQ3" s="986"/>
      <c r="BR3" s="986"/>
      <c r="BS3" s="986"/>
      <c r="BT3" s="986"/>
      <c r="BU3" s="986"/>
      <c r="BV3" s="986"/>
      <c r="BW3" s="986"/>
      <c r="BX3" s="986"/>
      <c r="BY3" s="986"/>
      <c r="BZ3" s="986" t="s">
        <v>491</v>
      </c>
      <c r="CA3" s="986"/>
      <c r="CB3" s="986"/>
      <c r="CC3" s="986"/>
      <c r="CD3" s="986"/>
      <c r="CE3" s="986"/>
      <c r="CF3" s="986"/>
      <c r="CG3" s="986"/>
      <c r="CH3" s="986"/>
      <c r="CI3" s="986"/>
      <c r="CJ3" s="986"/>
    </row>
    <row r="4" spans="1:88" ht="24.75" customHeight="1" thickTop="1">
      <c r="A4" s="984" t="s">
        <v>245</v>
      </c>
      <c r="B4" s="984"/>
      <c r="C4" s="984"/>
      <c r="D4" s="989" t="s">
        <v>201</v>
      </c>
      <c r="E4" s="988" t="s">
        <v>367</v>
      </c>
      <c r="F4" s="988"/>
      <c r="G4" s="988"/>
      <c r="H4" s="664"/>
      <c r="I4" s="988" t="s">
        <v>143</v>
      </c>
      <c r="J4" s="988"/>
      <c r="K4" s="988"/>
      <c r="L4" s="984" t="s">
        <v>245</v>
      </c>
      <c r="M4" s="984"/>
      <c r="N4" s="984"/>
      <c r="O4" s="989" t="s">
        <v>201</v>
      </c>
      <c r="P4" s="988" t="s">
        <v>367</v>
      </c>
      <c r="Q4" s="988"/>
      <c r="R4" s="988"/>
      <c r="S4" s="664"/>
      <c r="T4" s="988" t="s">
        <v>143</v>
      </c>
      <c r="U4" s="988"/>
      <c r="V4" s="988"/>
      <c r="W4" s="984" t="s">
        <v>245</v>
      </c>
      <c r="X4" s="984"/>
      <c r="Y4" s="984"/>
      <c r="Z4" s="989" t="s">
        <v>201</v>
      </c>
      <c r="AA4" s="988" t="s">
        <v>367</v>
      </c>
      <c r="AB4" s="988"/>
      <c r="AC4" s="988"/>
      <c r="AD4" s="664"/>
      <c r="AE4" s="988" t="s">
        <v>143</v>
      </c>
      <c r="AF4" s="988"/>
      <c r="AG4" s="988"/>
      <c r="AH4" s="984" t="s">
        <v>245</v>
      </c>
      <c r="AI4" s="984"/>
      <c r="AJ4" s="984"/>
      <c r="AK4" s="989" t="s">
        <v>201</v>
      </c>
      <c r="AL4" s="988" t="s">
        <v>367</v>
      </c>
      <c r="AM4" s="988"/>
      <c r="AN4" s="988"/>
      <c r="AO4" s="664"/>
      <c r="AP4" s="988" t="s">
        <v>143</v>
      </c>
      <c r="AQ4" s="988"/>
      <c r="AR4" s="988"/>
      <c r="AS4" s="984" t="s">
        <v>245</v>
      </c>
      <c r="AT4" s="984"/>
      <c r="AU4" s="984"/>
      <c r="AV4" s="989" t="s">
        <v>201</v>
      </c>
      <c r="AW4" s="988" t="s">
        <v>367</v>
      </c>
      <c r="AX4" s="988"/>
      <c r="AY4" s="988"/>
      <c r="AZ4" s="664"/>
      <c r="BA4" s="988" t="s">
        <v>143</v>
      </c>
      <c r="BB4" s="988"/>
      <c r="BC4" s="988"/>
      <c r="BD4" s="984" t="s">
        <v>245</v>
      </c>
      <c r="BE4" s="984"/>
      <c r="BF4" s="984"/>
      <c r="BG4" s="989" t="s">
        <v>201</v>
      </c>
      <c r="BH4" s="988" t="s">
        <v>367</v>
      </c>
      <c r="BI4" s="988"/>
      <c r="BJ4" s="988"/>
      <c r="BK4" s="664"/>
      <c r="BL4" s="988" t="s">
        <v>143</v>
      </c>
      <c r="BM4" s="988"/>
      <c r="BN4" s="988"/>
      <c r="BO4" s="984" t="s">
        <v>245</v>
      </c>
      <c r="BP4" s="984"/>
      <c r="BQ4" s="984"/>
      <c r="BR4" s="989" t="s">
        <v>201</v>
      </c>
      <c r="BS4" s="988" t="s">
        <v>367</v>
      </c>
      <c r="BT4" s="988"/>
      <c r="BU4" s="988"/>
      <c r="BV4" s="664"/>
      <c r="BW4" s="988" t="s">
        <v>143</v>
      </c>
      <c r="BX4" s="988"/>
      <c r="BY4" s="988"/>
      <c r="BZ4" s="984" t="s">
        <v>245</v>
      </c>
      <c r="CA4" s="984"/>
      <c r="CB4" s="984"/>
      <c r="CC4" s="989" t="s">
        <v>201</v>
      </c>
      <c r="CD4" s="988" t="s">
        <v>367</v>
      </c>
      <c r="CE4" s="988"/>
      <c r="CF4" s="988"/>
      <c r="CG4" s="664"/>
      <c r="CH4" s="988" t="s">
        <v>143</v>
      </c>
      <c r="CI4" s="988"/>
      <c r="CJ4" s="988"/>
    </row>
    <row r="5" spans="1:88" s="194" customFormat="1" ht="22.5" customHeight="1">
      <c r="A5" s="992"/>
      <c r="B5" s="992"/>
      <c r="C5" s="992"/>
      <c r="D5" s="990"/>
      <c r="E5" s="275" t="s">
        <v>127</v>
      </c>
      <c r="F5" s="275" t="s">
        <v>128</v>
      </c>
      <c r="G5" s="275" t="s">
        <v>144</v>
      </c>
      <c r="H5" s="269"/>
      <c r="I5" s="275" t="s">
        <v>127</v>
      </c>
      <c r="J5" s="275" t="s">
        <v>128</v>
      </c>
      <c r="K5" s="275" t="s">
        <v>144</v>
      </c>
      <c r="L5" s="992"/>
      <c r="M5" s="992"/>
      <c r="N5" s="992"/>
      <c r="O5" s="990"/>
      <c r="P5" s="275" t="s">
        <v>127</v>
      </c>
      <c r="Q5" s="687" t="s">
        <v>128</v>
      </c>
      <c r="R5" s="275" t="s">
        <v>144</v>
      </c>
      <c r="S5" s="269"/>
      <c r="T5" s="275" t="s">
        <v>127</v>
      </c>
      <c r="U5" s="687" t="s">
        <v>128</v>
      </c>
      <c r="V5" s="275" t="s">
        <v>144</v>
      </c>
      <c r="W5" s="992"/>
      <c r="X5" s="992"/>
      <c r="Y5" s="992"/>
      <c r="Z5" s="990"/>
      <c r="AA5" s="275" t="s">
        <v>127</v>
      </c>
      <c r="AB5" s="275" t="s">
        <v>128</v>
      </c>
      <c r="AC5" s="275" t="s">
        <v>144</v>
      </c>
      <c r="AD5" s="269"/>
      <c r="AE5" s="275" t="s">
        <v>127</v>
      </c>
      <c r="AF5" s="275" t="s">
        <v>128</v>
      </c>
      <c r="AG5" s="275" t="s">
        <v>144</v>
      </c>
      <c r="AH5" s="992"/>
      <c r="AI5" s="992"/>
      <c r="AJ5" s="992"/>
      <c r="AK5" s="990"/>
      <c r="AL5" s="275" t="s">
        <v>127</v>
      </c>
      <c r="AM5" s="275" t="s">
        <v>128</v>
      </c>
      <c r="AN5" s="275" t="s">
        <v>144</v>
      </c>
      <c r="AO5" s="269"/>
      <c r="AP5" s="275" t="s">
        <v>127</v>
      </c>
      <c r="AQ5" s="275" t="s">
        <v>128</v>
      </c>
      <c r="AR5" s="275" t="s">
        <v>144</v>
      </c>
      <c r="AS5" s="992"/>
      <c r="AT5" s="992"/>
      <c r="AU5" s="992"/>
      <c r="AV5" s="990"/>
      <c r="AW5" s="275" t="s">
        <v>127</v>
      </c>
      <c r="AX5" s="275" t="s">
        <v>128</v>
      </c>
      <c r="AY5" s="275" t="s">
        <v>144</v>
      </c>
      <c r="AZ5" s="269"/>
      <c r="BA5" s="275" t="s">
        <v>127</v>
      </c>
      <c r="BB5" s="275" t="s">
        <v>128</v>
      </c>
      <c r="BC5" s="275" t="s">
        <v>144</v>
      </c>
      <c r="BD5" s="992"/>
      <c r="BE5" s="992"/>
      <c r="BF5" s="992"/>
      <c r="BG5" s="990"/>
      <c r="BH5" s="275" t="s">
        <v>127</v>
      </c>
      <c r="BI5" s="275" t="s">
        <v>128</v>
      </c>
      <c r="BJ5" s="275" t="s">
        <v>144</v>
      </c>
      <c r="BK5" s="269"/>
      <c r="BL5" s="275" t="s">
        <v>127</v>
      </c>
      <c r="BM5" s="275" t="s">
        <v>128</v>
      </c>
      <c r="BN5" s="275" t="s">
        <v>144</v>
      </c>
      <c r="BO5" s="992"/>
      <c r="BP5" s="992"/>
      <c r="BQ5" s="992"/>
      <c r="BR5" s="990"/>
      <c r="BS5" s="275" t="s">
        <v>127</v>
      </c>
      <c r="BT5" s="275" t="s">
        <v>128</v>
      </c>
      <c r="BU5" s="275" t="s">
        <v>144</v>
      </c>
      <c r="BV5" s="269"/>
      <c r="BW5" s="275" t="s">
        <v>127</v>
      </c>
      <c r="BX5" s="275" t="s">
        <v>128</v>
      </c>
      <c r="BY5" s="275" t="s">
        <v>144</v>
      </c>
      <c r="BZ5" s="992"/>
      <c r="CA5" s="992"/>
      <c r="CB5" s="992"/>
      <c r="CC5" s="990"/>
      <c r="CD5" s="275" t="s">
        <v>127</v>
      </c>
      <c r="CE5" s="275" t="s">
        <v>128</v>
      </c>
      <c r="CF5" s="275" t="s">
        <v>144</v>
      </c>
      <c r="CG5" s="269"/>
      <c r="CH5" s="275" t="s">
        <v>127</v>
      </c>
      <c r="CI5" s="275" t="s">
        <v>128</v>
      </c>
      <c r="CJ5" s="275" t="s">
        <v>144</v>
      </c>
    </row>
    <row r="6" spans="1:88" ht="21" customHeight="1">
      <c r="A6" s="1083" t="s">
        <v>150</v>
      </c>
      <c r="B6" s="1083"/>
      <c r="C6" s="188" t="s">
        <v>202</v>
      </c>
      <c r="D6" s="25" t="s">
        <v>151</v>
      </c>
      <c r="E6" s="305" t="s">
        <v>421</v>
      </c>
      <c r="F6" s="305" t="s">
        <v>421</v>
      </c>
      <c r="G6" s="305" t="s">
        <v>421</v>
      </c>
      <c r="H6" s="305"/>
      <c r="I6" s="305" t="s">
        <v>421</v>
      </c>
      <c r="J6" s="305" t="s">
        <v>421</v>
      </c>
      <c r="K6" s="305" t="s">
        <v>421</v>
      </c>
      <c r="L6" s="1083" t="s">
        <v>150</v>
      </c>
      <c r="M6" s="1083"/>
      <c r="N6" s="188" t="s">
        <v>202</v>
      </c>
      <c r="O6" s="25" t="s">
        <v>151</v>
      </c>
      <c r="P6" s="448">
        <v>0.2</v>
      </c>
      <c r="Q6" s="875">
        <v>1080</v>
      </c>
      <c r="R6" s="206">
        <v>20.25</v>
      </c>
      <c r="S6" s="206"/>
      <c r="T6" s="448">
        <v>0.1</v>
      </c>
      <c r="U6" s="688">
        <v>32</v>
      </c>
      <c r="V6" s="206">
        <v>4.0599999999999996</v>
      </c>
      <c r="W6" s="1083" t="s">
        <v>150</v>
      </c>
      <c r="X6" s="1083"/>
      <c r="Y6" s="188" t="s">
        <v>202</v>
      </c>
      <c r="Z6" s="25" t="s">
        <v>151</v>
      </c>
      <c r="AA6" s="498">
        <v>0.87</v>
      </c>
      <c r="AB6" s="499">
        <v>339</v>
      </c>
      <c r="AC6" s="498">
        <v>180.08</v>
      </c>
      <c r="AD6" s="498"/>
      <c r="AE6" s="498">
        <v>0.17</v>
      </c>
      <c r="AF6" s="499">
        <v>121</v>
      </c>
      <c r="AG6" s="500">
        <v>7.3</v>
      </c>
      <c r="AH6" s="1083" t="s">
        <v>150</v>
      </c>
      <c r="AI6" s="1083"/>
      <c r="AJ6" s="188" t="s">
        <v>202</v>
      </c>
      <c r="AK6" s="25" t="s">
        <v>151</v>
      </c>
      <c r="AL6" s="448">
        <v>3.5</v>
      </c>
      <c r="AM6" s="449">
        <v>60</v>
      </c>
      <c r="AN6" s="206">
        <v>10.23</v>
      </c>
      <c r="AO6" s="206"/>
      <c r="AP6" s="206">
        <v>0.01</v>
      </c>
      <c r="AQ6" s="448">
        <v>6.6</v>
      </c>
      <c r="AR6" s="206">
        <v>2.4500000000000002</v>
      </c>
      <c r="AS6" s="1083" t="s">
        <v>150</v>
      </c>
      <c r="AT6" s="1083"/>
      <c r="AU6" s="188" t="s">
        <v>202</v>
      </c>
      <c r="AV6" s="25" t="s">
        <v>151</v>
      </c>
      <c r="AW6" s="100">
        <v>4.26</v>
      </c>
      <c r="AX6" s="100">
        <v>243</v>
      </c>
      <c r="AY6" s="100">
        <v>31.7</v>
      </c>
      <c r="AZ6" s="100"/>
      <c r="BA6" s="100">
        <v>1.1499999999999999</v>
      </c>
      <c r="BB6" s="100">
        <v>4.95</v>
      </c>
      <c r="BC6" s="100">
        <v>3.86</v>
      </c>
      <c r="BD6" s="1083" t="s">
        <v>150</v>
      </c>
      <c r="BE6" s="1083"/>
      <c r="BF6" s="188" t="s">
        <v>202</v>
      </c>
      <c r="BG6" s="25" t="s">
        <v>151</v>
      </c>
      <c r="BH6" s="498">
        <v>0.65</v>
      </c>
      <c r="BI6" s="499">
        <v>157</v>
      </c>
      <c r="BJ6" s="498">
        <v>13.04</v>
      </c>
      <c r="BK6" s="498"/>
      <c r="BL6" s="498">
        <v>0.01</v>
      </c>
      <c r="BM6" s="499">
        <v>40</v>
      </c>
      <c r="BN6" s="498">
        <v>3.75</v>
      </c>
      <c r="BO6" s="1083" t="s">
        <v>150</v>
      </c>
      <c r="BP6" s="1083"/>
      <c r="BQ6" s="188" t="s">
        <v>202</v>
      </c>
      <c r="BR6" s="25" t="s">
        <v>151</v>
      </c>
      <c r="BS6" s="524">
        <v>0.2</v>
      </c>
      <c r="BT6" s="497">
        <v>263</v>
      </c>
      <c r="BU6" s="497">
        <v>75</v>
      </c>
      <c r="BV6" s="514"/>
      <c r="BW6" s="516">
        <v>0.6</v>
      </c>
      <c r="BX6" s="515">
        <v>734</v>
      </c>
      <c r="BY6" s="517">
        <v>37.49</v>
      </c>
      <c r="BZ6" s="1083" t="s">
        <v>150</v>
      </c>
      <c r="CA6" s="1083"/>
      <c r="CB6" s="188" t="s">
        <v>202</v>
      </c>
      <c r="CC6" s="451" t="s">
        <v>151</v>
      </c>
      <c r="CD6" s="500">
        <v>0.3</v>
      </c>
      <c r="CE6" s="499">
        <v>120</v>
      </c>
      <c r="CF6" s="498">
        <v>14.23</v>
      </c>
      <c r="CG6" s="498"/>
      <c r="CH6" s="500">
        <v>0.6</v>
      </c>
      <c r="CI6" s="500">
        <v>26.7</v>
      </c>
      <c r="CJ6" s="498">
        <v>4.83</v>
      </c>
    </row>
    <row r="7" spans="1:88" ht="21" customHeight="1">
      <c r="A7" s="1084" t="s">
        <v>203</v>
      </c>
      <c r="B7" s="1084"/>
      <c r="C7" s="189" t="s">
        <v>204</v>
      </c>
      <c r="D7" s="25" t="s">
        <v>151</v>
      </c>
      <c r="E7" s="305" t="s">
        <v>421</v>
      </c>
      <c r="F7" s="305" t="s">
        <v>421</v>
      </c>
      <c r="G7" s="305" t="s">
        <v>421</v>
      </c>
      <c r="H7" s="305"/>
      <c r="I7" s="305" t="s">
        <v>421</v>
      </c>
      <c r="J7" s="305" t="s">
        <v>421</v>
      </c>
      <c r="K7" s="305" t="s">
        <v>421</v>
      </c>
      <c r="L7" s="1084" t="s">
        <v>203</v>
      </c>
      <c r="M7" s="1084"/>
      <c r="N7" s="189" t="s">
        <v>204</v>
      </c>
      <c r="O7" s="25" t="s">
        <v>151</v>
      </c>
      <c r="P7" s="189">
        <v>186</v>
      </c>
      <c r="Q7" s="497">
        <v>1080</v>
      </c>
      <c r="R7" s="189">
        <v>305</v>
      </c>
      <c r="S7" s="189"/>
      <c r="T7" s="189">
        <v>190</v>
      </c>
      <c r="U7" s="689">
        <v>1072</v>
      </c>
      <c r="V7" s="189">
        <v>303</v>
      </c>
      <c r="W7" s="1084" t="s">
        <v>203</v>
      </c>
      <c r="X7" s="1084"/>
      <c r="Y7" s="189" t="s">
        <v>204</v>
      </c>
      <c r="Z7" s="25" t="s">
        <v>151</v>
      </c>
      <c r="AA7" s="189">
        <v>189</v>
      </c>
      <c r="AB7" s="189">
        <v>641</v>
      </c>
      <c r="AC7" s="189">
        <v>351</v>
      </c>
      <c r="AD7" s="189"/>
      <c r="AE7" s="189">
        <v>200</v>
      </c>
      <c r="AF7" s="189">
        <v>616</v>
      </c>
      <c r="AG7" s="189">
        <v>334</v>
      </c>
      <c r="AH7" s="1084" t="s">
        <v>203</v>
      </c>
      <c r="AI7" s="1084"/>
      <c r="AJ7" s="189" t="s">
        <v>204</v>
      </c>
      <c r="AK7" s="25" t="s">
        <v>151</v>
      </c>
      <c r="AL7" s="100">
        <v>302</v>
      </c>
      <c r="AM7" s="100">
        <v>460</v>
      </c>
      <c r="AN7" s="100">
        <v>358</v>
      </c>
      <c r="AO7" s="100"/>
      <c r="AP7" s="100">
        <v>300</v>
      </c>
      <c r="AQ7" s="100">
        <v>452</v>
      </c>
      <c r="AR7" s="100">
        <v>353</v>
      </c>
      <c r="AS7" s="1084" t="s">
        <v>203</v>
      </c>
      <c r="AT7" s="1084"/>
      <c r="AU7" s="189" t="s">
        <v>204</v>
      </c>
      <c r="AV7" s="25" t="s">
        <v>151</v>
      </c>
      <c r="AW7" s="100">
        <v>184</v>
      </c>
      <c r="AX7" s="100">
        <v>263</v>
      </c>
      <c r="AY7" s="100">
        <v>213</v>
      </c>
      <c r="AZ7" s="100"/>
      <c r="BA7" s="100">
        <v>184</v>
      </c>
      <c r="BB7" s="100">
        <v>265</v>
      </c>
      <c r="BC7" s="100">
        <v>214</v>
      </c>
      <c r="BD7" s="1084" t="s">
        <v>203</v>
      </c>
      <c r="BE7" s="1084"/>
      <c r="BF7" s="189" t="s">
        <v>204</v>
      </c>
      <c r="BG7" s="25" t="s">
        <v>151</v>
      </c>
      <c r="BH7" s="497">
        <v>220</v>
      </c>
      <c r="BI7" s="497">
        <v>668</v>
      </c>
      <c r="BJ7" s="497">
        <v>389</v>
      </c>
      <c r="BK7" s="497"/>
      <c r="BL7" s="497">
        <v>206</v>
      </c>
      <c r="BM7" s="497">
        <v>738</v>
      </c>
      <c r="BN7" s="497">
        <v>382</v>
      </c>
      <c r="BO7" s="1084" t="s">
        <v>203</v>
      </c>
      <c r="BP7" s="1084"/>
      <c r="BQ7" s="189" t="s">
        <v>204</v>
      </c>
      <c r="BR7" s="25" t="s">
        <v>151</v>
      </c>
      <c r="BS7" s="497">
        <v>284</v>
      </c>
      <c r="BT7" s="497">
        <v>1252</v>
      </c>
      <c r="BU7" s="497">
        <v>418</v>
      </c>
      <c r="BV7" s="518"/>
      <c r="BW7" s="497">
        <v>292</v>
      </c>
      <c r="BX7" s="497">
        <v>1356</v>
      </c>
      <c r="BY7" s="497">
        <v>429</v>
      </c>
      <c r="BZ7" s="1084" t="s">
        <v>203</v>
      </c>
      <c r="CA7" s="1084"/>
      <c r="CB7" s="189" t="s">
        <v>204</v>
      </c>
      <c r="CC7" s="25" t="s">
        <v>151</v>
      </c>
      <c r="CD7" s="497">
        <v>312</v>
      </c>
      <c r="CE7" s="497">
        <v>2624</v>
      </c>
      <c r="CF7" s="497">
        <v>798</v>
      </c>
      <c r="CG7" s="497"/>
      <c r="CH7" s="497">
        <v>312</v>
      </c>
      <c r="CI7" s="497">
        <v>2680</v>
      </c>
      <c r="CJ7" s="497">
        <v>795</v>
      </c>
    </row>
    <row r="8" spans="1:88" ht="21" customHeight="1">
      <c r="A8" s="1084" t="s">
        <v>153</v>
      </c>
      <c r="B8" s="1084"/>
      <c r="C8" s="189" t="s">
        <v>205</v>
      </c>
      <c r="D8" s="25" t="s">
        <v>151</v>
      </c>
      <c r="E8" s="305" t="s">
        <v>421</v>
      </c>
      <c r="F8" s="305" t="s">
        <v>421</v>
      </c>
      <c r="G8" s="305" t="s">
        <v>421</v>
      </c>
      <c r="H8" s="305"/>
      <c r="I8" s="305" t="s">
        <v>421</v>
      </c>
      <c r="J8" s="305" t="s">
        <v>421</v>
      </c>
      <c r="K8" s="305" t="s">
        <v>421</v>
      </c>
      <c r="L8" s="1084" t="s">
        <v>153</v>
      </c>
      <c r="M8" s="1084"/>
      <c r="N8" s="189" t="s">
        <v>205</v>
      </c>
      <c r="O8" s="25" t="s">
        <v>151</v>
      </c>
      <c r="P8" s="100">
        <v>92</v>
      </c>
      <c r="Q8" s="876">
        <v>280</v>
      </c>
      <c r="R8" s="100">
        <v>130</v>
      </c>
      <c r="S8" s="100"/>
      <c r="T8" s="100">
        <v>90</v>
      </c>
      <c r="U8" s="690">
        <v>282</v>
      </c>
      <c r="V8" s="100">
        <v>131</v>
      </c>
      <c r="W8" s="1084" t="s">
        <v>153</v>
      </c>
      <c r="X8" s="1084"/>
      <c r="Y8" s="189" t="s">
        <v>205</v>
      </c>
      <c r="Z8" s="25" t="s">
        <v>151</v>
      </c>
      <c r="AA8" s="189">
        <v>80</v>
      </c>
      <c r="AB8" s="189">
        <v>214</v>
      </c>
      <c r="AC8" s="189">
        <v>135</v>
      </c>
      <c r="AD8" s="189"/>
      <c r="AE8" s="189">
        <v>78</v>
      </c>
      <c r="AF8" s="189">
        <v>280</v>
      </c>
      <c r="AG8" s="189">
        <v>138</v>
      </c>
      <c r="AH8" s="1084" t="s">
        <v>153</v>
      </c>
      <c r="AI8" s="1084"/>
      <c r="AJ8" s="189" t="s">
        <v>205</v>
      </c>
      <c r="AK8" s="25" t="s">
        <v>151</v>
      </c>
      <c r="AL8" s="100">
        <v>96</v>
      </c>
      <c r="AM8" s="100">
        <v>152</v>
      </c>
      <c r="AN8" s="100">
        <v>119</v>
      </c>
      <c r="AO8" s="100"/>
      <c r="AP8" s="100">
        <v>94</v>
      </c>
      <c r="AQ8" s="100">
        <v>148</v>
      </c>
      <c r="AR8" s="100">
        <v>117</v>
      </c>
      <c r="AS8" s="1084" t="s">
        <v>153</v>
      </c>
      <c r="AT8" s="1084"/>
      <c r="AU8" s="189" t="s">
        <v>205</v>
      </c>
      <c r="AV8" s="25" t="s">
        <v>151</v>
      </c>
      <c r="AW8" s="100">
        <v>119</v>
      </c>
      <c r="AX8" s="100">
        <v>171</v>
      </c>
      <c r="AY8" s="100">
        <v>142</v>
      </c>
      <c r="AZ8" s="100"/>
      <c r="BA8" s="100">
        <v>122</v>
      </c>
      <c r="BB8" s="100">
        <v>174</v>
      </c>
      <c r="BC8" s="100">
        <v>143</v>
      </c>
      <c r="BD8" s="1084" t="s">
        <v>153</v>
      </c>
      <c r="BE8" s="1084"/>
      <c r="BF8" s="189" t="s">
        <v>205</v>
      </c>
      <c r="BG8" s="100" t="s">
        <v>151</v>
      </c>
      <c r="BH8" s="100">
        <v>112</v>
      </c>
      <c r="BI8" s="100">
        <v>186</v>
      </c>
      <c r="BJ8" s="100">
        <v>137</v>
      </c>
      <c r="BK8" s="100"/>
      <c r="BL8" s="100">
        <v>82</v>
      </c>
      <c r="BM8" s="100">
        <v>190</v>
      </c>
      <c r="BN8" s="100">
        <v>135</v>
      </c>
      <c r="BO8" s="1084" t="s">
        <v>153</v>
      </c>
      <c r="BP8" s="1084"/>
      <c r="BQ8" s="189" t="s">
        <v>205</v>
      </c>
      <c r="BR8" s="25" t="s">
        <v>151</v>
      </c>
      <c r="BS8" s="189">
        <v>140</v>
      </c>
      <c r="BT8" s="189">
        <v>220</v>
      </c>
      <c r="BU8" s="189">
        <v>159</v>
      </c>
      <c r="BV8" s="189"/>
      <c r="BW8" s="189">
        <v>130</v>
      </c>
      <c r="BX8" s="189">
        <v>200</v>
      </c>
      <c r="BY8" s="189">
        <v>151</v>
      </c>
      <c r="BZ8" s="1084" t="s">
        <v>153</v>
      </c>
      <c r="CA8" s="1084"/>
      <c r="CB8" s="189" t="s">
        <v>205</v>
      </c>
      <c r="CC8" s="25" t="s">
        <v>151</v>
      </c>
      <c r="CD8" s="189">
        <v>80</v>
      </c>
      <c r="CE8" s="189">
        <v>248</v>
      </c>
      <c r="CF8" s="189">
        <v>160</v>
      </c>
      <c r="CG8" s="189"/>
      <c r="CH8" s="504">
        <v>78</v>
      </c>
      <c r="CI8" s="504">
        <v>236</v>
      </c>
      <c r="CJ8" s="504">
        <v>156</v>
      </c>
    </row>
    <row r="9" spans="1:88" ht="21" customHeight="1">
      <c r="A9" s="1085" t="s">
        <v>206</v>
      </c>
      <c r="B9" s="1085"/>
      <c r="C9" s="189" t="s">
        <v>207</v>
      </c>
      <c r="D9" s="25" t="s">
        <v>151</v>
      </c>
      <c r="E9" s="305" t="s">
        <v>421</v>
      </c>
      <c r="F9" s="305" t="s">
        <v>421</v>
      </c>
      <c r="G9" s="305" t="s">
        <v>421</v>
      </c>
      <c r="H9" s="305"/>
      <c r="I9" s="305" t="s">
        <v>421</v>
      </c>
      <c r="J9" s="305" t="s">
        <v>421</v>
      </c>
      <c r="K9" s="305" t="s">
        <v>421</v>
      </c>
      <c r="L9" s="1085" t="s">
        <v>206</v>
      </c>
      <c r="M9" s="1085"/>
      <c r="N9" s="189" t="s">
        <v>207</v>
      </c>
      <c r="O9" s="25" t="s">
        <v>151</v>
      </c>
      <c r="P9" s="100">
        <v>228</v>
      </c>
      <c r="Q9" s="497">
        <v>1890</v>
      </c>
      <c r="R9" s="100">
        <v>471</v>
      </c>
      <c r="S9" s="100"/>
      <c r="T9" s="100">
        <v>234</v>
      </c>
      <c r="U9" s="497">
        <v>1864</v>
      </c>
      <c r="V9" s="100">
        <v>470</v>
      </c>
      <c r="W9" s="1085" t="s">
        <v>206</v>
      </c>
      <c r="X9" s="1085"/>
      <c r="Y9" s="189" t="s">
        <v>207</v>
      </c>
      <c r="Z9" s="25" t="s">
        <v>151</v>
      </c>
      <c r="AA9" s="189">
        <v>230</v>
      </c>
      <c r="AB9" s="497">
        <v>1160</v>
      </c>
      <c r="AC9" s="497">
        <v>599</v>
      </c>
      <c r="AD9" s="497"/>
      <c r="AE9" s="497">
        <v>244</v>
      </c>
      <c r="AF9" s="497">
        <v>1296</v>
      </c>
      <c r="AG9" s="497">
        <v>555</v>
      </c>
      <c r="AH9" s="1085" t="s">
        <v>206</v>
      </c>
      <c r="AI9" s="1085"/>
      <c r="AJ9" s="189" t="s">
        <v>207</v>
      </c>
      <c r="AK9" s="25" t="s">
        <v>151</v>
      </c>
      <c r="AL9" s="189">
        <v>586</v>
      </c>
      <c r="AM9" s="497">
        <v>926</v>
      </c>
      <c r="AN9" s="497">
        <v>677</v>
      </c>
      <c r="AO9" s="497"/>
      <c r="AP9" s="497">
        <v>590</v>
      </c>
      <c r="AQ9" s="497">
        <v>924</v>
      </c>
      <c r="AR9" s="497">
        <v>678</v>
      </c>
      <c r="AS9" s="1085" t="s">
        <v>206</v>
      </c>
      <c r="AT9" s="1085"/>
      <c r="AU9" s="189" t="s">
        <v>207</v>
      </c>
      <c r="AV9" s="25" t="s">
        <v>151</v>
      </c>
      <c r="AW9" s="100">
        <v>234</v>
      </c>
      <c r="AX9" s="100">
        <v>492</v>
      </c>
      <c r="AY9" s="100">
        <v>301</v>
      </c>
      <c r="AZ9" s="100"/>
      <c r="BA9" s="100">
        <v>236</v>
      </c>
      <c r="BB9" s="100">
        <v>492</v>
      </c>
      <c r="BC9" s="100">
        <v>306</v>
      </c>
      <c r="BD9" s="1085" t="s">
        <v>206</v>
      </c>
      <c r="BE9" s="1085"/>
      <c r="BF9" s="189" t="s">
        <v>207</v>
      </c>
      <c r="BG9" s="25" t="s">
        <v>151</v>
      </c>
      <c r="BH9" s="189">
        <v>418</v>
      </c>
      <c r="BI9" s="497">
        <v>1224</v>
      </c>
      <c r="BJ9" s="497">
        <v>718</v>
      </c>
      <c r="BK9" s="497"/>
      <c r="BL9" s="497">
        <v>422</v>
      </c>
      <c r="BM9" s="497">
        <v>1462</v>
      </c>
      <c r="BN9" s="497">
        <v>717</v>
      </c>
      <c r="BO9" s="1085" t="s">
        <v>206</v>
      </c>
      <c r="BP9" s="1085"/>
      <c r="BQ9" s="189" t="s">
        <v>207</v>
      </c>
      <c r="BR9" s="25" t="s">
        <v>151</v>
      </c>
      <c r="BS9" s="519">
        <v>432</v>
      </c>
      <c r="BT9" s="519">
        <v>2745</v>
      </c>
      <c r="BU9" s="519">
        <v>782</v>
      </c>
      <c r="BV9" s="520"/>
      <c r="BW9" s="519">
        <v>442</v>
      </c>
      <c r="BX9" s="519">
        <v>2788</v>
      </c>
      <c r="BY9" s="519">
        <v>796</v>
      </c>
      <c r="BZ9" s="1085" t="s">
        <v>206</v>
      </c>
      <c r="CA9" s="1085"/>
      <c r="CB9" s="189" t="s">
        <v>207</v>
      </c>
      <c r="CC9" s="25" t="s">
        <v>151</v>
      </c>
      <c r="CD9" s="497">
        <v>542</v>
      </c>
      <c r="CE9" s="497">
        <v>8300</v>
      </c>
      <c r="CF9" s="497">
        <v>2404</v>
      </c>
      <c r="CG9" s="497"/>
      <c r="CH9" s="497">
        <v>544</v>
      </c>
      <c r="CI9" s="497">
        <v>8490</v>
      </c>
      <c r="CJ9" s="497">
        <v>2388</v>
      </c>
    </row>
    <row r="10" spans="1:88" ht="21" customHeight="1">
      <c r="A10" s="1084" t="s">
        <v>208</v>
      </c>
      <c r="B10" s="1084"/>
      <c r="C10" s="189" t="s">
        <v>152</v>
      </c>
      <c r="D10" s="276"/>
      <c r="E10" s="305" t="s">
        <v>421</v>
      </c>
      <c r="F10" s="305" t="s">
        <v>421</v>
      </c>
      <c r="G10" s="305" t="s">
        <v>421</v>
      </c>
      <c r="H10" s="305"/>
      <c r="I10" s="305" t="s">
        <v>421</v>
      </c>
      <c r="J10" s="305" t="s">
        <v>421</v>
      </c>
      <c r="K10" s="305" t="s">
        <v>421</v>
      </c>
      <c r="L10" s="1084" t="s">
        <v>208</v>
      </c>
      <c r="M10" s="1084"/>
      <c r="N10" s="189" t="s">
        <v>152</v>
      </c>
      <c r="O10" s="276"/>
      <c r="P10" s="328">
        <v>6.7</v>
      </c>
      <c r="Q10" s="690">
        <v>8.1999999999999993</v>
      </c>
      <c r="R10" s="328">
        <v>7.5</v>
      </c>
      <c r="S10" s="207"/>
      <c r="T10" s="450">
        <v>6</v>
      </c>
      <c r="U10" s="690">
        <v>8.4</v>
      </c>
      <c r="V10" s="328">
        <v>7.3</v>
      </c>
      <c r="W10" s="1084" t="s">
        <v>208</v>
      </c>
      <c r="X10" s="1084"/>
      <c r="Y10" s="189" t="s">
        <v>152</v>
      </c>
      <c r="Z10" s="276"/>
      <c r="AA10" s="521">
        <v>6.06</v>
      </c>
      <c r="AB10" s="521">
        <v>8.69</v>
      </c>
      <c r="AC10" s="521">
        <v>8.0399999999999991</v>
      </c>
      <c r="AD10" s="521"/>
      <c r="AE10" s="520">
        <v>6.6</v>
      </c>
      <c r="AF10" s="520">
        <v>8.6999999999999993</v>
      </c>
      <c r="AG10" s="520">
        <v>7.8</v>
      </c>
      <c r="AH10" s="1084" t="s">
        <v>208</v>
      </c>
      <c r="AI10" s="1084"/>
      <c r="AJ10" s="189" t="s">
        <v>152</v>
      </c>
      <c r="AK10" s="276"/>
      <c r="AL10" s="100">
        <v>7.3</v>
      </c>
      <c r="AM10" s="328">
        <v>8.4</v>
      </c>
      <c r="AN10" s="328">
        <v>7.9</v>
      </c>
      <c r="AO10" s="207"/>
      <c r="AP10" s="328">
        <v>7.1</v>
      </c>
      <c r="AQ10" s="328">
        <v>8.4</v>
      </c>
      <c r="AR10" s="328">
        <v>7.8</v>
      </c>
      <c r="AS10" s="1084" t="s">
        <v>208</v>
      </c>
      <c r="AT10" s="1084"/>
      <c r="AU10" s="189" t="s">
        <v>152</v>
      </c>
      <c r="AV10" s="276"/>
      <c r="AW10" s="100">
        <v>7.12</v>
      </c>
      <c r="AX10" s="100">
        <v>8.2100000000000009</v>
      </c>
      <c r="AY10" s="100">
        <v>7.56</v>
      </c>
      <c r="AZ10" s="100"/>
      <c r="BA10" s="100">
        <v>7</v>
      </c>
      <c r="BB10" s="100">
        <v>8.9</v>
      </c>
      <c r="BC10" s="100">
        <v>7.7</v>
      </c>
      <c r="BD10" s="1084" t="s">
        <v>208</v>
      </c>
      <c r="BE10" s="1084"/>
      <c r="BF10" s="189" t="s">
        <v>152</v>
      </c>
      <c r="BG10" s="276"/>
      <c r="BH10" s="100">
        <v>6.6</v>
      </c>
      <c r="BI10" s="100">
        <v>8.6</v>
      </c>
      <c r="BJ10" s="100">
        <v>7.7</v>
      </c>
      <c r="BK10" s="100"/>
      <c r="BL10" s="100">
        <v>6.1</v>
      </c>
      <c r="BM10" s="100">
        <v>8.6</v>
      </c>
      <c r="BN10" s="100">
        <v>7.6</v>
      </c>
      <c r="BO10" s="1084" t="s">
        <v>208</v>
      </c>
      <c r="BP10" s="1084"/>
      <c r="BQ10" s="189" t="s">
        <v>152</v>
      </c>
      <c r="BR10" s="276"/>
      <c r="BS10" s="521">
        <v>7.18</v>
      </c>
      <c r="BT10" s="523">
        <v>8.6999999999999993</v>
      </c>
      <c r="BU10" s="520">
        <v>7.8</v>
      </c>
      <c r="BV10" s="521"/>
      <c r="BW10" s="522">
        <v>6.93</v>
      </c>
      <c r="BX10" s="520">
        <v>8.1999999999999993</v>
      </c>
      <c r="BY10" s="520">
        <v>7.7</v>
      </c>
      <c r="BZ10" s="1084" t="s">
        <v>208</v>
      </c>
      <c r="CA10" s="1084"/>
      <c r="CB10" s="189" t="s">
        <v>152</v>
      </c>
      <c r="CC10" s="276"/>
      <c r="CD10" s="521">
        <v>7.15</v>
      </c>
      <c r="CE10" s="521">
        <v>8.1199999999999992</v>
      </c>
      <c r="CF10" s="520">
        <v>7.6</v>
      </c>
      <c r="CG10" s="521"/>
      <c r="CH10" s="521">
        <v>6.84</v>
      </c>
      <c r="CI10" s="521">
        <v>8.0500000000000007</v>
      </c>
      <c r="CJ10" s="520">
        <v>7.4</v>
      </c>
    </row>
    <row r="11" spans="1:88" ht="21" customHeight="1">
      <c r="A11" s="1084" t="s">
        <v>209</v>
      </c>
      <c r="B11" s="1084"/>
      <c r="C11" s="189" t="s">
        <v>210</v>
      </c>
      <c r="D11" s="25" t="s">
        <v>151</v>
      </c>
      <c r="E11" s="305" t="s">
        <v>421</v>
      </c>
      <c r="F11" s="305" t="s">
        <v>421</v>
      </c>
      <c r="G11" s="305" t="s">
        <v>421</v>
      </c>
      <c r="H11" s="305"/>
      <c r="I11" s="305" t="s">
        <v>421</v>
      </c>
      <c r="J11" s="305" t="s">
        <v>421</v>
      </c>
      <c r="K11" s="305" t="s">
        <v>421</v>
      </c>
      <c r="L11" s="1084" t="s">
        <v>209</v>
      </c>
      <c r="M11" s="1084"/>
      <c r="N11" s="189" t="s">
        <v>210</v>
      </c>
      <c r="O11" s="25" t="s">
        <v>151</v>
      </c>
      <c r="P11" s="100">
        <v>16</v>
      </c>
      <c r="Q11" s="690">
        <v>300</v>
      </c>
      <c r="R11" s="100">
        <v>47</v>
      </c>
      <c r="S11" s="100"/>
      <c r="T11" s="100">
        <v>18</v>
      </c>
      <c r="U11" s="690">
        <v>286</v>
      </c>
      <c r="V11" s="100">
        <v>50</v>
      </c>
      <c r="W11" s="1084" t="s">
        <v>209</v>
      </c>
      <c r="X11" s="1084"/>
      <c r="Y11" s="189" t="s">
        <v>210</v>
      </c>
      <c r="Z11" s="25" t="s">
        <v>151</v>
      </c>
      <c r="AA11" s="525">
        <v>29</v>
      </c>
      <c r="AB11" s="525">
        <v>288</v>
      </c>
      <c r="AC11" s="525">
        <v>94</v>
      </c>
      <c r="AD11" s="521"/>
      <c r="AE11" s="525">
        <v>28</v>
      </c>
      <c r="AF11" s="525">
        <v>342</v>
      </c>
      <c r="AG11" s="525">
        <v>87</v>
      </c>
      <c r="AH11" s="1084" t="s">
        <v>209</v>
      </c>
      <c r="AI11" s="1084"/>
      <c r="AJ11" s="189" t="s">
        <v>210</v>
      </c>
      <c r="AK11" s="25" t="s">
        <v>151</v>
      </c>
      <c r="AL11" s="100">
        <v>87</v>
      </c>
      <c r="AM11" s="100">
        <v>150</v>
      </c>
      <c r="AN11" s="100">
        <v>108</v>
      </c>
      <c r="AO11" s="100"/>
      <c r="AP11" s="100">
        <v>88</v>
      </c>
      <c r="AQ11" s="100">
        <v>154</v>
      </c>
      <c r="AR11" s="100">
        <v>110</v>
      </c>
      <c r="AS11" s="1084" t="s">
        <v>209</v>
      </c>
      <c r="AT11" s="1084"/>
      <c r="AU11" s="189" t="s">
        <v>210</v>
      </c>
      <c r="AV11" s="25" t="s">
        <v>151</v>
      </c>
      <c r="AW11" s="100">
        <v>12</v>
      </c>
      <c r="AX11" s="100">
        <v>38</v>
      </c>
      <c r="AY11" s="100">
        <v>22</v>
      </c>
      <c r="AZ11" s="100"/>
      <c r="BA11" s="100">
        <v>13</v>
      </c>
      <c r="BB11" s="100">
        <v>40</v>
      </c>
      <c r="BC11" s="100">
        <v>24</v>
      </c>
      <c r="BD11" s="1084" t="s">
        <v>209</v>
      </c>
      <c r="BE11" s="1084"/>
      <c r="BF11" s="189" t="s">
        <v>210</v>
      </c>
      <c r="BG11" s="25" t="s">
        <v>151</v>
      </c>
      <c r="BH11" s="100">
        <v>67</v>
      </c>
      <c r="BI11" s="100">
        <v>254</v>
      </c>
      <c r="BJ11" s="100">
        <v>237</v>
      </c>
      <c r="BK11" s="100"/>
      <c r="BL11" s="100">
        <v>70</v>
      </c>
      <c r="BM11" s="100">
        <v>266</v>
      </c>
      <c r="BN11" s="100">
        <v>131</v>
      </c>
      <c r="BO11" s="1084" t="s">
        <v>209</v>
      </c>
      <c r="BP11" s="1084"/>
      <c r="BQ11" s="189" t="s">
        <v>210</v>
      </c>
      <c r="BR11" s="25" t="s">
        <v>151</v>
      </c>
      <c r="BS11" s="497">
        <v>59</v>
      </c>
      <c r="BT11" s="497">
        <v>710</v>
      </c>
      <c r="BU11" s="497">
        <v>1117</v>
      </c>
      <c r="BV11" s="524"/>
      <c r="BW11" s="497">
        <v>59</v>
      </c>
      <c r="BX11" s="497">
        <v>774</v>
      </c>
      <c r="BY11" s="497">
        <v>124</v>
      </c>
      <c r="BZ11" s="1084" t="s">
        <v>209</v>
      </c>
      <c r="CA11" s="1084"/>
      <c r="CB11" s="189" t="s">
        <v>210</v>
      </c>
      <c r="CC11" s="25" t="s">
        <v>151</v>
      </c>
      <c r="CD11" s="497">
        <v>126</v>
      </c>
      <c r="CE11" s="497">
        <v>2840</v>
      </c>
      <c r="CF11" s="497">
        <v>834</v>
      </c>
      <c r="CG11" s="497"/>
      <c r="CH11" s="497">
        <v>124</v>
      </c>
      <c r="CI11" s="497">
        <v>2900</v>
      </c>
      <c r="CJ11" s="497">
        <v>829</v>
      </c>
    </row>
    <row r="12" spans="1:88" ht="21" customHeight="1">
      <c r="A12" s="1084" t="s">
        <v>211</v>
      </c>
      <c r="B12" s="1084"/>
      <c r="C12" s="189" t="s">
        <v>212</v>
      </c>
      <c r="D12" s="25" t="s">
        <v>151</v>
      </c>
      <c r="E12" s="305" t="s">
        <v>421</v>
      </c>
      <c r="F12" s="305" t="s">
        <v>421</v>
      </c>
      <c r="G12" s="305" t="s">
        <v>421</v>
      </c>
      <c r="H12" s="305"/>
      <c r="I12" s="305" t="s">
        <v>421</v>
      </c>
      <c r="J12" s="305" t="s">
        <v>421</v>
      </c>
      <c r="K12" s="305" t="s">
        <v>421</v>
      </c>
      <c r="L12" s="1084" t="s">
        <v>211</v>
      </c>
      <c r="M12" s="1084"/>
      <c r="N12" s="189" t="s">
        <v>212</v>
      </c>
      <c r="O12" s="25" t="s">
        <v>151</v>
      </c>
      <c r="P12" s="100">
        <v>42</v>
      </c>
      <c r="Q12" s="690">
        <v>340</v>
      </c>
      <c r="R12" s="100">
        <v>78</v>
      </c>
      <c r="S12" s="100"/>
      <c r="T12" s="100">
        <v>46</v>
      </c>
      <c r="U12" s="690">
        <v>330</v>
      </c>
      <c r="V12" s="100">
        <v>78</v>
      </c>
      <c r="W12" s="1084" t="s">
        <v>211</v>
      </c>
      <c r="X12" s="1084"/>
      <c r="Y12" s="189" t="s">
        <v>212</v>
      </c>
      <c r="Z12" s="25" t="s">
        <v>151</v>
      </c>
      <c r="AA12" s="189">
        <v>42</v>
      </c>
      <c r="AB12" s="189">
        <v>174</v>
      </c>
      <c r="AC12" s="189">
        <v>86</v>
      </c>
      <c r="AD12" s="189"/>
      <c r="AE12" s="189">
        <v>39</v>
      </c>
      <c r="AF12" s="189">
        <v>200</v>
      </c>
      <c r="AG12" s="189">
        <v>81</v>
      </c>
      <c r="AH12" s="1084" t="s">
        <v>211</v>
      </c>
      <c r="AI12" s="1084"/>
      <c r="AJ12" s="189" t="s">
        <v>212</v>
      </c>
      <c r="AK12" s="25" t="s">
        <v>151</v>
      </c>
      <c r="AL12" s="100">
        <v>70</v>
      </c>
      <c r="AM12" s="100">
        <v>115</v>
      </c>
      <c r="AN12" s="100">
        <v>86</v>
      </c>
      <c r="AO12" s="100"/>
      <c r="AP12" s="100">
        <v>70</v>
      </c>
      <c r="AQ12" s="100">
        <v>117</v>
      </c>
      <c r="AR12" s="100">
        <v>88</v>
      </c>
      <c r="AS12" s="1084" t="s">
        <v>211</v>
      </c>
      <c r="AT12" s="1084"/>
      <c r="AU12" s="189" t="s">
        <v>212</v>
      </c>
      <c r="AV12" s="25" t="s">
        <v>151</v>
      </c>
      <c r="AW12" s="100">
        <v>44</v>
      </c>
      <c r="AX12" s="100">
        <v>80</v>
      </c>
      <c r="AY12" s="100">
        <v>57</v>
      </c>
      <c r="AZ12" s="100"/>
      <c r="BA12" s="100">
        <v>44</v>
      </c>
      <c r="BB12" s="100">
        <v>81</v>
      </c>
      <c r="BC12" s="100">
        <v>59</v>
      </c>
      <c r="BD12" s="1084" t="s">
        <v>211</v>
      </c>
      <c r="BE12" s="1084"/>
      <c r="BF12" s="189" t="s">
        <v>212</v>
      </c>
      <c r="BG12" s="25" t="s">
        <v>151</v>
      </c>
      <c r="BH12" s="100">
        <v>54</v>
      </c>
      <c r="BI12" s="100">
        <v>160</v>
      </c>
      <c r="BJ12" s="100">
        <v>91</v>
      </c>
      <c r="BK12" s="100"/>
      <c r="BL12" s="100">
        <v>36</v>
      </c>
      <c r="BM12" s="100">
        <v>168</v>
      </c>
      <c r="BN12" s="100">
        <v>88</v>
      </c>
      <c r="BO12" s="1084" t="s">
        <v>211</v>
      </c>
      <c r="BP12" s="1084"/>
      <c r="BQ12" s="189" t="s">
        <v>212</v>
      </c>
      <c r="BR12" s="25" t="s">
        <v>151</v>
      </c>
      <c r="BS12" s="497">
        <v>54</v>
      </c>
      <c r="BT12" s="497">
        <v>246</v>
      </c>
      <c r="BU12" s="497">
        <v>84</v>
      </c>
      <c r="BV12" s="189"/>
      <c r="BW12" s="189">
        <v>56</v>
      </c>
      <c r="BX12" s="189">
        <v>262</v>
      </c>
      <c r="BY12" s="189">
        <v>88</v>
      </c>
      <c r="BZ12" s="1084" t="s">
        <v>211</v>
      </c>
      <c r="CA12" s="1084"/>
      <c r="CB12" s="189" t="s">
        <v>212</v>
      </c>
      <c r="CC12" s="25" t="s">
        <v>151</v>
      </c>
      <c r="CD12" s="527">
        <v>64</v>
      </c>
      <c r="CE12" s="527">
        <v>528</v>
      </c>
      <c r="CF12" s="527">
        <v>163</v>
      </c>
      <c r="CG12" s="189"/>
      <c r="CH12" s="507">
        <v>64</v>
      </c>
      <c r="CI12" s="507">
        <v>531</v>
      </c>
      <c r="CJ12" s="507">
        <v>162</v>
      </c>
    </row>
    <row r="13" spans="1:88" ht="21" customHeight="1">
      <c r="A13" s="1084" t="s">
        <v>213</v>
      </c>
      <c r="B13" s="1084"/>
      <c r="C13" s="189" t="s">
        <v>214</v>
      </c>
      <c r="D13" s="25" t="s">
        <v>151</v>
      </c>
      <c r="E13" s="305" t="s">
        <v>421</v>
      </c>
      <c r="F13" s="305" t="s">
        <v>421</v>
      </c>
      <c r="G13" s="305" t="s">
        <v>421</v>
      </c>
      <c r="H13" s="305"/>
      <c r="I13" s="305" t="s">
        <v>421</v>
      </c>
      <c r="J13" s="305" t="s">
        <v>421</v>
      </c>
      <c r="K13" s="305" t="s">
        <v>421</v>
      </c>
      <c r="L13" s="1084" t="s">
        <v>213</v>
      </c>
      <c r="M13" s="1084"/>
      <c r="N13" s="189" t="s">
        <v>214</v>
      </c>
      <c r="O13" s="25" t="s">
        <v>151</v>
      </c>
      <c r="P13" s="100">
        <v>16</v>
      </c>
      <c r="Q13" s="690">
        <v>295</v>
      </c>
      <c r="R13" s="100">
        <v>27</v>
      </c>
      <c r="S13" s="100"/>
      <c r="T13" s="100">
        <v>16</v>
      </c>
      <c r="U13" s="690">
        <v>278</v>
      </c>
      <c r="V13" s="100">
        <v>26</v>
      </c>
      <c r="W13" s="1084" t="s">
        <v>213</v>
      </c>
      <c r="X13" s="1084"/>
      <c r="Y13" s="189" t="s">
        <v>214</v>
      </c>
      <c r="Z13" s="25" t="s">
        <v>151</v>
      </c>
      <c r="AA13" s="189">
        <v>11</v>
      </c>
      <c r="AB13" s="189">
        <v>75</v>
      </c>
      <c r="AC13" s="189">
        <v>33</v>
      </c>
      <c r="AD13" s="189"/>
      <c r="AE13" s="189">
        <v>9</v>
      </c>
      <c r="AF13" s="189">
        <v>79</v>
      </c>
      <c r="AG13" s="189">
        <v>32</v>
      </c>
      <c r="AH13" s="1084" t="s">
        <v>213</v>
      </c>
      <c r="AI13" s="1084"/>
      <c r="AJ13" s="189" t="s">
        <v>214</v>
      </c>
      <c r="AK13" s="25" t="s">
        <v>151</v>
      </c>
      <c r="AL13" s="100">
        <v>23</v>
      </c>
      <c r="AM13" s="100">
        <v>47</v>
      </c>
      <c r="AN13" s="100">
        <v>33</v>
      </c>
      <c r="AO13" s="100"/>
      <c r="AP13" s="100">
        <v>23</v>
      </c>
      <c r="AQ13" s="100">
        <v>47</v>
      </c>
      <c r="AR13" s="100">
        <v>34</v>
      </c>
      <c r="AS13" s="1084" t="s">
        <v>213</v>
      </c>
      <c r="AT13" s="1084"/>
      <c r="AU13" s="189" t="s">
        <v>214</v>
      </c>
      <c r="AV13" s="25" t="s">
        <v>151</v>
      </c>
      <c r="AW13" s="100">
        <v>6</v>
      </c>
      <c r="AX13" s="100">
        <v>32</v>
      </c>
      <c r="AY13" s="100">
        <v>17</v>
      </c>
      <c r="AZ13" s="100"/>
      <c r="BA13" s="100">
        <v>6</v>
      </c>
      <c r="BB13" s="100">
        <v>31</v>
      </c>
      <c r="BC13" s="100">
        <v>17</v>
      </c>
      <c r="BD13" s="1084" t="s">
        <v>213</v>
      </c>
      <c r="BE13" s="1084"/>
      <c r="BF13" s="189" t="s">
        <v>214</v>
      </c>
      <c r="BG13" s="25" t="s">
        <v>151</v>
      </c>
      <c r="BH13" s="100">
        <v>13</v>
      </c>
      <c r="BI13" s="100">
        <v>92</v>
      </c>
      <c r="BJ13" s="100">
        <v>40</v>
      </c>
      <c r="BK13" s="100"/>
      <c r="BL13" s="100">
        <v>12</v>
      </c>
      <c r="BM13" s="100">
        <v>87</v>
      </c>
      <c r="BN13" s="100">
        <v>40</v>
      </c>
      <c r="BO13" s="1084" t="s">
        <v>213</v>
      </c>
      <c r="BP13" s="1084"/>
      <c r="BQ13" s="189" t="s">
        <v>214</v>
      </c>
      <c r="BR13" s="25" t="s">
        <v>151</v>
      </c>
      <c r="BS13" s="497">
        <v>29</v>
      </c>
      <c r="BT13" s="497">
        <v>184</v>
      </c>
      <c r="BU13" s="497">
        <v>50</v>
      </c>
      <c r="BV13" s="189"/>
      <c r="BW13" s="189">
        <v>28</v>
      </c>
      <c r="BX13" s="189">
        <v>183</v>
      </c>
      <c r="BY13" s="189">
        <v>51</v>
      </c>
      <c r="BZ13" s="1084" t="s">
        <v>213</v>
      </c>
      <c r="CA13" s="1084"/>
      <c r="CB13" s="189" t="s">
        <v>214</v>
      </c>
      <c r="CC13" s="25" t="s">
        <v>151</v>
      </c>
      <c r="CD13" s="189">
        <v>35</v>
      </c>
      <c r="CE13" s="189">
        <v>318</v>
      </c>
      <c r="CF13" s="189">
        <v>95</v>
      </c>
      <c r="CG13" s="189"/>
      <c r="CH13" s="504">
        <v>35</v>
      </c>
      <c r="CI13" s="504">
        <v>330</v>
      </c>
      <c r="CJ13" s="504">
        <v>95</v>
      </c>
    </row>
    <row r="14" spans="1:88" ht="21" customHeight="1">
      <c r="A14" s="1084" t="s">
        <v>215</v>
      </c>
      <c r="B14" s="1084"/>
      <c r="C14" s="190" t="s">
        <v>216</v>
      </c>
      <c r="D14" s="191" t="s">
        <v>164</v>
      </c>
      <c r="E14" s="305" t="s">
        <v>421</v>
      </c>
      <c r="F14" s="305" t="s">
        <v>421</v>
      </c>
      <c r="G14" s="305" t="s">
        <v>421</v>
      </c>
      <c r="H14" s="305"/>
      <c r="I14" s="305" t="s">
        <v>421</v>
      </c>
      <c r="J14" s="305" t="s">
        <v>421</v>
      </c>
      <c r="K14" s="305" t="s">
        <v>421</v>
      </c>
      <c r="L14" s="1084" t="s">
        <v>215</v>
      </c>
      <c r="M14" s="1084"/>
      <c r="N14" s="190" t="s">
        <v>216</v>
      </c>
      <c r="O14" s="191" t="s">
        <v>164</v>
      </c>
      <c r="P14" s="190">
        <v>345</v>
      </c>
      <c r="Q14" s="496">
        <v>2770</v>
      </c>
      <c r="R14" s="190">
        <v>729</v>
      </c>
      <c r="S14" s="190"/>
      <c r="T14" s="190">
        <v>354</v>
      </c>
      <c r="U14" s="497">
        <v>2670</v>
      </c>
      <c r="V14" s="190">
        <v>726</v>
      </c>
      <c r="W14" s="1084" t="s">
        <v>215</v>
      </c>
      <c r="X14" s="1084"/>
      <c r="Y14" s="190" t="s">
        <v>216</v>
      </c>
      <c r="Z14" s="191" t="s">
        <v>164</v>
      </c>
      <c r="AA14" s="189">
        <v>426</v>
      </c>
      <c r="AB14" s="497">
        <v>1844</v>
      </c>
      <c r="AC14" s="497">
        <v>958</v>
      </c>
      <c r="AD14" s="496"/>
      <c r="AE14" s="496">
        <v>429</v>
      </c>
      <c r="AF14" s="496">
        <v>2000</v>
      </c>
      <c r="AG14" s="496">
        <v>894</v>
      </c>
      <c r="AH14" s="1084" t="s">
        <v>215</v>
      </c>
      <c r="AI14" s="1084"/>
      <c r="AJ14" s="190" t="s">
        <v>216</v>
      </c>
      <c r="AK14" s="191" t="s">
        <v>164</v>
      </c>
      <c r="AL14" s="190">
        <v>932</v>
      </c>
      <c r="AM14" s="496">
        <v>1446</v>
      </c>
      <c r="AN14" s="496">
        <v>1062</v>
      </c>
      <c r="AO14" s="496"/>
      <c r="AP14" s="496">
        <v>930</v>
      </c>
      <c r="AQ14" s="496">
        <v>1458</v>
      </c>
      <c r="AR14" s="496">
        <v>1062</v>
      </c>
      <c r="AS14" s="1084" t="s">
        <v>215</v>
      </c>
      <c r="AT14" s="1084"/>
      <c r="AU14" s="190" t="s">
        <v>216</v>
      </c>
      <c r="AV14" s="191" t="s">
        <v>164</v>
      </c>
      <c r="AW14" s="100">
        <v>311</v>
      </c>
      <c r="AX14" s="100">
        <v>585</v>
      </c>
      <c r="AY14" s="100">
        <v>456</v>
      </c>
      <c r="AZ14" s="100"/>
      <c r="BA14" s="100">
        <v>299</v>
      </c>
      <c r="BB14" s="100">
        <v>597</v>
      </c>
      <c r="BC14" s="100">
        <v>461</v>
      </c>
      <c r="BD14" s="1084" t="s">
        <v>215</v>
      </c>
      <c r="BE14" s="1084"/>
      <c r="BF14" s="190" t="s">
        <v>216</v>
      </c>
      <c r="BG14" s="191" t="s">
        <v>164</v>
      </c>
      <c r="BH14" s="496">
        <v>631</v>
      </c>
      <c r="BI14" s="496">
        <v>1992</v>
      </c>
      <c r="BJ14" s="496">
        <v>1117</v>
      </c>
      <c r="BK14" s="496"/>
      <c r="BL14" s="496">
        <v>638</v>
      </c>
      <c r="BM14" s="496">
        <v>2270</v>
      </c>
      <c r="BN14" s="496">
        <v>1114</v>
      </c>
      <c r="BO14" s="1084" t="s">
        <v>215</v>
      </c>
      <c r="BP14" s="1084"/>
      <c r="BQ14" s="190" t="s">
        <v>216</v>
      </c>
      <c r="BR14" s="191" t="s">
        <v>164</v>
      </c>
      <c r="BS14" s="496">
        <v>730</v>
      </c>
      <c r="BT14" s="496">
        <v>4500</v>
      </c>
      <c r="BU14" s="496">
        <v>1175</v>
      </c>
      <c r="BV14" s="496"/>
      <c r="BW14" s="496">
        <v>733</v>
      </c>
      <c r="BX14" s="496">
        <v>4510</v>
      </c>
      <c r="BY14" s="496">
        <v>1187</v>
      </c>
      <c r="BZ14" s="1084" t="s">
        <v>215</v>
      </c>
      <c r="CA14" s="1084"/>
      <c r="CB14" s="190" t="s">
        <v>216</v>
      </c>
      <c r="CC14" s="191" t="s">
        <v>164</v>
      </c>
      <c r="CD14" s="189">
        <v>896</v>
      </c>
      <c r="CE14" s="497">
        <v>11748</v>
      </c>
      <c r="CF14" s="497">
        <v>3840</v>
      </c>
      <c r="CG14" s="496"/>
      <c r="CH14" s="497">
        <v>909</v>
      </c>
      <c r="CI14" s="497">
        <v>11995</v>
      </c>
      <c r="CJ14" s="497">
        <v>3825</v>
      </c>
    </row>
    <row r="15" spans="1:88" ht="21" customHeight="1">
      <c r="A15" s="1090" t="s">
        <v>217</v>
      </c>
      <c r="B15" s="1090"/>
      <c r="C15" s="189" t="s">
        <v>218</v>
      </c>
      <c r="D15" s="25" t="s">
        <v>151</v>
      </c>
      <c r="E15" s="305" t="s">
        <v>421</v>
      </c>
      <c r="F15" s="305" t="s">
        <v>421</v>
      </c>
      <c r="G15" s="305" t="s">
        <v>421</v>
      </c>
      <c r="H15" s="305"/>
      <c r="I15" s="305" t="s">
        <v>421</v>
      </c>
      <c r="J15" s="305" t="s">
        <v>421</v>
      </c>
      <c r="K15" s="305" t="s">
        <v>421</v>
      </c>
      <c r="L15" s="1090" t="s">
        <v>217</v>
      </c>
      <c r="M15" s="1090"/>
      <c r="N15" s="189" t="s">
        <v>218</v>
      </c>
      <c r="O15" s="25" t="s">
        <v>151</v>
      </c>
      <c r="P15" s="100">
        <v>12</v>
      </c>
      <c r="Q15" s="690">
        <v>210</v>
      </c>
      <c r="R15" s="100">
        <v>37</v>
      </c>
      <c r="S15" s="100"/>
      <c r="T15" s="100">
        <v>13</v>
      </c>
      <c r="U15" s="690">
        <v>196</v>
      </c>
      <c r="V15" s="100">
        <v>37</v>
      </c>
      <c r="W15" s="1090" t="s">
        <v>217</v>
      </c>
      <c r="X15" s="1090"/>
      <c r="Y15" s="189" t="s">
        <v>218</v>
      </c>
      <c r="Z15" s="25" t="s">
        <v>151</v>
      </c>
      <c r="AA15" s="305" t="s">
        <v>421</v>
      </c>
      <c r="AB15" s="305" t="s">
        <v>421</v>
      </c>
      <c r="AC15" s="305" t="s">
        <v>421</v>
      </c>
      <c r="AD15" s="305"/>
      <c r="AE15" s="305" t="s">
        <v>421</v>
      </c>
      <c r="AF15" s="305" t="s">
        <v>421</v>
      </c>
      <c r="AG15" s="305" t="s">
        <v>421</v>
      </c>
      <c r="AH15" s="1090" t="s">
        <v>217</v>
      </c>
      <c r="AI15" s="1090"/>
      <c r="AJ15" s="189" t="s">
        <v>218</v>
      </c>
      <c r="AK15" s="25" t="s">
        <v>151</v>
      </c>
      <c r="AL15" s="100">
        <v>65</v>
      </c>
      <c r="AM15" s="100">
        <v>124</v>
      </c>
      <c r="AN15" s="100">
        <v>83</v>
      </c>
      <c r="AO15" s="100"/>
      <c r="AP15" s="100">
        <v>65</v>
      </c>
      <c r="AQ15" s="100">
        <v>126</v>
      </c>
      <c r="AR15" s="100">
        <v>84</v>
      </c>
      <c r="AS15" s="1090" t="s">
        <v>217</v>
      </c>
      <c r="AT15" s="1090"/>
      <c r="AU15" s="189" t="s">
        <v>218</v>
      </c>
      <c r="AV15" s="25" t="s">
        <v>151</v>
      </c>
      <c r="AW15" s="100">
        <v>9</v>
      </c>
      <c r="AX15" s="100">
        <v>21</v>
      </c>
      <c r="AY15" s="100">
        <v>14</v>
      </c>
      <c r="AZ15" s="100"/>
      <c r="BA15" s="100">
        <v>9</v>
      </c>
      <c r="BB15" s="100">
        <v>23</v>
      </c>
      <c r="BC15" s="100">
        <v>16</v>
      </c>
      <c r="BD15" s="1090" t="s">
        <v>217</v>
      </c>
      <c r="BE15" s="1090"/>
      <c r="BF15" s="189" t="s">
        <v>218</v>
      </c>
      <c r="BG15" s="25" t="s">
        <v>151</v>
      </c>
      <c r="BH15" s="305" t="s">
        <v>421</v>
      </c>
      <c r="BI15" s="305" t="s">
        <v>421</v>
      </c>
      <c r="BJ15" s="305" t="s">
        <v>421</v>
      </c>
      <c r="BK15" s="305"/>
      <c r="BL15" s="305" t="s">
        <v>421</v>
      </c>
      <c r="BM15" s="305" t="s">
        <v>421</v>
      </c>
      <c r="BN15" s="305" t="s">
        <v>421</v>
      </c>
      <c r="BO15" s="1090" t="s">
        <v>217</v>
      </c>
      <c r="BP15" s="1090"/>
      <c r="BQ15" s="189" t="s">
        <v>218</v>
      </c>
      <c r="BR15" s="25" t="s">
        <v>151</v>
      </c>
      <c r="BS15" s="189">
        <v>51</v>
      </c>
      <c r="BT15" s="189">
        <v>374</v>
      </c>
      <c r="BU15" s="189">
        <v>86</v>
      </c>
      <c r="BV15" s="189"/>
      <c r="BW15" s="189">
        <v>52</v>
      </c>
      <c r="BX15" s="189">
        <v>382</v>
      </c>
      <c r="BY15" s="189">
        <v>89</v>
      </c>
      <c r="BZ15" s="1090" t="s">
        <v>217</v>
      </c>
      <c r="CA15" s="1090"/>
      <c r="CB15" s="189" t="s">
        <v>218</v>
      </c>
      <c r="CC15" s="25" t="s">
        <v>151</v>
      </c>
      <c r="CD15" s="189">
        <v>60</v>
      </c>
      <c r="CE15" s="497">
        <v>1930</v>
      </c>
      <c r="CF15" s="497">
        <v>552</v>
      </c>
      <c r="CG15" s="497"/>
      <c r="CH15" s="497">
        <v>58</v>
      </c>
      <c r="CI15" s="497">
        <v>2020</v>
      </c>
      <c r="CJ15" s="497">
        <v>548</v>
      </c>
    </row>
    <row r="16" spans="1:88" ht="21" customHeight="1">
      <c r="A16" s="1090" t="s">
        <v>219</v>
      </c>
      <c r="B16" s="1090"/>
      <c r="C16" s="189" t="s">
        <v>220</v>
      </c>
      <c r="D16" s="25" t="s">
        <v>151</v>
      </c>
      <c r="E16" s="305" t="s">
        <v>421</v>
      </c>
      <c r="F16" s="305" t="s">
        <v>421</v>
      </c>
      <c r="G16" s="305" t="s">
        <v>421</v>
      </c>
      <c r="H16" s="305"/>
      <c r="I16" s="305" t="s">
        <v>421</v>
      </c>
      <c r="J16" s="305" t="s">
        <v>421</v>
      </c>
      <c r="K16" s="305" t="s">
        <v>421</v>
      </c>
      <c r="L16" s="1090" t="s">
        <v>219</v>
      </c>
      <c r="M16" s="1090"/>
      <c r="N16" s="189" t="s">
        <v>220</v>
      </c>
      <c r="O16" s="25" t="s">
        <v>151</v>
      </c>
      <c r="P16" s="328">
        <v>1.8</v>
      </c>
      <c r="Q16" s="690">
        <v>18</v>
      </c>
      <c r="R16" s="328">
        <v>3.3</v>
      </c>
      <c r="S16" s="207"/>
      <c r="T16" s="450">
        <v>2</v>
      </c>
      <c r="U16" s="690">
        <v>16</v>
      </c>
      <c r="V16" s="328">
        <v>3.4</v>
      </c>
      <c r="W16" s="1090" t="s">
        <v>219</v>
      </c>
      <c r="X16" s="1090"/>
      <c r="Y16" s="189" t="s">
        <v>220</v>
      </c>
      <c r="Z16" s="25" t="s">
        <v>151</v>
      </c>
      <c r="AA16" s="305" t="s">
        <v>421</v>
      </c>
      <c r="AB16" s="305" t="s">
        <v>421</v>
      </c>
      <c r="AC16" s="305" t="s">
        <v>421</v>
      </c>
      <c r="AD16" s="305"/>
      <c r="AE16" s="305" t="s">
        <v>421</v>
      </c>
      <c r="AF16" s="305" t="s">
        <v>421</v>
      </c>
      <c r="AG16" s="305" t="s">
        <v>421</v>
      </c>
      <c r="AH16" s="1090" t="s">
        <v>219</v>
      </c>
      <c r="AI16" s="1090"/>
      <c r="AJ16" s="189" t="s">
        <v>220</v>
      </c>
      <c r="AK16" s="25" t="s">
        <v>151</v>
      </c>
      <c r="AL16" s="100">
        <v>3.5</v>
      </c>
      <c r="AM16" s="100">
        <v>5.0999999999999996</v>
      </c>
      <c r="AN16" s="100">
        <v>4.4000000000000004</v>
      </c>
      <c r="AO16" s="100"/>
      <c r="AP16" s="100">
        <v>3.6</v>
      </c>
      <c r="AQ16" s="100">
        <v>5.2</v>
      </c>
      <c r="AR16" s="100">
        <v>4.5</v>
      </c>
      <c r="AS16" s="1090" t="s">
        <v>219</v>
      </c>
      <c r="AT16" s="1090"/>
      <c r="AU16" s="189" t="s">
        <v>220</v>
      </c>
      <c r="AV16" s="25" t="s">
        <v>151</v>
      </c>
      <c r="AW16" s="100">
        <v>1.1000000000000001</v>
      </c>
      <c r="AX16" s="100">
        <v>2</v>
      </c>
      <c r="AY16" s="100">
        <v>1.4</v>
      </c>
      <c r="AZ16" s="100"/>
      <c r="BA16" s="100">
        <v>1.1000000000000001</v>
      </c>
      <c r="BB16" s="100">
        <v>2.1</v>
      </c>
      <c r="BC16" s="100">
        <v>1.5</v>
      </c>
      <c r="BD16" s="1090" t="s">
        <v>219</v>
      </c>
      <c r="BE16" s="1090"/>
      <c r="BF16" s="189" t="s">
        <v>220</v>
      </c>
      <c r="BG16" s="25" t="s">
        <v>151</v>
      </c>
      <c r="BH16" s="305" t="s">
        <v>421</v>
      </c>
      <c r="BI16" s="305" t="s">
        <v>421</v>
      </c>
      <c r="BJ16" s="305" t="s">
        <v>421</v>
      </c>
      <c r="BK16" s="305"/>
      <c r="BL16" s="305" t="s">
        <v>421</v>
      </c>
      <c r="BM16" s="305" t="s">
        <v>421</v>
      </c>
      <c r="BN16" s="305" t="s">
        <v>421</v>
      </c>
      <c r="BO16" s="1090" t="s">
        <v>219</v>
      </c>
      <c r="BP16" s="1090"/>
      <c r="BQ16" s="189" t="s">
        <v>220</v>
      </c>
      <c r="BR16" s="25" t="s">
        <v>151</v>
      </c>
      <c r="BS16" s="525">
        <v>2</v>
      </c>
      <c r="BT16" s="520">
        <v>7.8</v>
      </c>
      <c r="BU16" s="520">
        <v>3.3</v>
      </c>
      <c r="BV16" s="520"/>
      <c r="BW16" s="520">
        <v>2.1</v>
      </c>
      <c r="BX16" s="520">
        <v>7.9</v>
      </c>
      <c r="BY16" s="520">
        <v>3.5</v>
      </c>
      <c r="BZ16" s="1090" t="s">
        <v>219</v>
      </c>
      <c r="CA16" s="1090"/>
      <c r="CB16" s="189" t="s">
        <v>220</v>
      </c>
      <c r="CC16" s="25" t="s">
        <v>151</v>
      </c>
      <c r="CD16" s="189">
        <v>3</v>
      </c>
      <c r="CE16" s="525">
        <v>36</v>
      </c>
      <c r="CF16" s="520">
        <v>9.6999999999999993</v>
      </c>
      <c r="CG16" s="521"/>
      <c r="CH16" s="529">
        <v>3</v>
      </c>
      <c r="CI16" s="529">
        <v>33</v>
      </c>
      <c r="CJ16" s="528">
        <v>9.6</v>
      </c>
    </row>
    <row r="17" spans="1:88" ht="21" customHeight="1" thickBot="1">
      <c r="A17" s="1089" t="s">
        <v>221</v>
      </c>
      <c r="B17" s="1089"/>
      <c r="C17" s="192" t="s">
        <v>222</v>
      </c>
      <c r="D17" s="193" t="s">
        <v>151</v>
      </c>
      <c r="E17" s="306" t="s">
        <v>421</v>
      </c>
      <c r="F17" s="306" t="s">
        <v>421</v>
      </c>
      <c r="G17" s="306" t="s">
        <v>421</v>
      </c>
      <c r="H17" s="306"/>
      <c r="I17" s="306" t="s">
        <v>421</v>
      </c>
      <c r="J17" s="306" t="s">
        <v>421</v>
      </c>
      <c r="K17" s="306" t="s">
        <v>421</v>
      </c>
      <c r="L17" s="1089" t="s">
        <v>221</v>
      </c>
      <c r="M17" s="1089"/>
      <c r="N17" s="192" t="s">
        <v>222</v>
      </c>
      <c r="O17" s="193" t="s">
        <v>151</v>
      </c>
      <c r="P17" s="101">
        <v>66</v>
      </c>
      <c r="Q17" s="691">
        <v>840</v>
      </c>
      <c r="R17" s="101">
        <v>191</v>
      </c>
      <c r="S17" s="101"/>
      <c r="T17" s="101">
        <v>68</v>
      </c>
      <c r="U17" s="691">
        <v>820</v>
      </c>
      <c r="V17" s="101">
        <v>190</v>
      </c>
      <c r="W17" s="1089" t="s">
        <v>221</v>
      </c>
      <c r="X17" s="1089"/>
      <c r="Y17" s="192" t="s">
        <v>222</v>
      </c>
      <c r="Z17" s="193" t="s">
        <v>151</v>
      </c>
      <c r="AA17" s="192">
        <v>54</v>
      </c>
      <c r="AB17" s="192">
        <v>612</v>
      </c>
      <c r="AC17" s="192">
        <v>220</v>
      </c>
      <c r="AD17" s="192"/>
      <c r="AE17" s="192">
        <v>40</v>
      </c>
      <c r="AF17" s="192">
        <v>616</v>
      </c>
      <c r="AG17" s="192">
        <v>198</v>
      </c>
      <c r="AH17" s="1089" t="s">
        <v>221</v>
      </c>
      <c r="AI17" s="1089"/>
      <c r="AJ17" s="192" t="s">
        <v>222</v>
      </c>
      <c r="AK17" s="193" t="s">
        <v>151</v>
      </c>
      <c r="AL17" s="101">
        <v>210</v>
      </c>
      <c r="AM17" s="101">
        <v>372</v>
      </c>
      <c r="AN17" s="101">
        <v>263</v>
      </c>
      <c r="AO17" s="101"/>
      <c r="AP17" s="101">
        <v>208</v>
      </c>
      <c r="AQ17" s="101">
        <v>370</v>
      </c>
      <c r="AR17" s="101">
        <v>259</v>
      </c>
      <c r="AS17" s="1089" t="s">
        <v>221</v>
      </c>
      <c r="AT17" s="1089"/>
      <c r="AU17" s="192" t="s">
        <v>222</v>
      </c>
      <c r="AV17" s="193" t="s">
        <v>151</v>
      </c>
      <c r="AW17" s="101">
        <v>45</v>
      </c>
      <c r="AX17" s="101">
        <v>112</v>
      </c>
      <c r="AY17" s="101">
        <v>70</v>
      </c>
      <c r="AZ17" s="101"/>
      <c r="BA17" s="101">
        <v>46</v>
      </c>
      <c r="BB17" s="101">
        <v>114</v>
      </c>
      <c r="BC17" s="101">
        <v>72</v>
      </c>
      <c r="BD17" s="1089" t="s">
        <v>221</v>
      </c>
      <c r="BE17" s="1089"/>
      <c r="BF17" s="192" t="s">
        <v>222</v>
      </c>
      <c r="BG17" s="193" t="s">
        <v>151</v>
      </c>
      <c r="BH17" s="101">
        <v>143</v>
      </c>
      <c r="BI17" s="101">
        <v>682</v>
      </c>
      <c r="BJ17" s="101">
        <v>273</v>
      </c>
      <c r="BK17" s="101"/>
      <c r="BL17" s="101">
        <v>147</v>
      </c>
      <c r="BM17" s="101">
        <v>530</v>
      </c>
      <c r="BN17" s="101">
        <v>267</v>
      </c>
      <c r="BO17" s="1089" t="s">
        <v>221</v>
      </c>
      <c r="BP17" s="1089"/>
      <c r="BQ17" s="192" t="s">
        <v>222</v>
      </c>
      <c r="BR17" s="193" t="s">
        <v>151</v>
      </c>
      <c r="BS17" s="192">
        <v>150</v>
      </c>
      <c r="BT17" s="526">
        <v>789</v>
      </c>
      <c r="BU17" s="526">
        <v>268</v>
      </c>
      <c r="BV17" s="526"/>
      <c r="BW17" s="526">
        <v>155</v>
      </c>
      <c r="BX17" s="526">
        <v>852</v>
      </c>
      <c r="BY17" s="526">
        <v>280</v>
      </c>
      <c r="BZ17" s="1089" t="s">
        <v>221</v>
      </c>
      <c r="CA17" s="1089"/>
      <c r="CB17" s="192" t="s">
        <v>222</v>
      </c>
      <c r="CC17" s="193" t="s">
        <v>151</v>
      </c>
      <c r="CD17" s="192">
        <v>148</v>
      </c>
      <c r="CE17" s="526">
        <v>2475</v>
      </c>
      <c r="CF17" s="526">
        <v>632</v>
      </c>
      <c r="CG17" s="526"/>
      <c r="CH17" s="526">
        <v>146</v>
      </c>
      <c r="CI17" s="526">
        <v>2533</v>
      </c>
      <c r="CJ17" s="526">
        <v>629</v>
      </c>
    </row>
    <row r="18" spans="1:88" s="47" customFormat="1" ht="34.5" customHeight="1" thickTop="1">
      <c r="A18" s="1096" t="s">
        <v>366</v>
      </c>
      <c r="B18" s="1096"/>
      <c r="C18" s="1096"/>
      <c r="D18" s="1096"/>
      <c r="E18" s="1097"/>
      <c r="F18" s="1097"/>
      <c r="G18" s="175"/>
      <c r="H18" s="175"/>
      <c r="I18" s="175"/>
      <c r="J18" s="175"/>
      <c r="K18" s="177"/>
      <c r="L18" s="176"/>
      <c r="M18" s="176"/>
      <c r="N18" s="176"/>
      <c r="O18" s="176"/>
      <c r="P18" s="175"/>
      <c r="Q18" s="692"/>
      <c r="R18" s="175"/>
      <c r="S18" s="175"/>
      <c r="T18" s="175"/>
      <c r="U18" s="692"/>
      <c r="V18" s="177"/>
      <c r="W18" s="1098" t="s">
        <v>374</v>
      </c>
      <c r="X18" s="1098"/>
      <c r="Y18" s="1098"/>
      <c r="Z18" s="1098"/>
      <c r="AA18" s="175"/>
      <c r="AB18" s="175"/>
      <c r="AC18" s="175"/>
      <c r="AD18" s="175"/>
      <c r="AE18" s="175"/>
      <c r="AF18" s="175"/>
      <c r="AG18" s="177"/>
      <c r="AH18" s="176"/>
      <c r="AI18" s="176"/>
      <c r="AJ18" s="176"/>
      <c r="AK18" s="176"/>
      <c r="AL18" s="175"/>
      <c r="AM18" s="175"/>
      <c r="AN18" s="175"/>
      <c r="AO18" s="175"/>
      <c r="AP18" s="175"/>
      <c r="AQ18" s="175"/>
      <c r="AR18" s="177"/>
      <c r="AS18" s="1096"/>
      <c r="AT18" s="1096"/>
      <c r="AU18" s="1096"/>
      <c r="AV18" s="1096"/>
      <c r="AW18" s="1097"/>
      <c r="AX18" s="1097"/>
      <c r="AY18" s="175"/>
      <c r="AZ18" s="175"/>
      <c r="BA18" s="175"/>
      <c r="BB18" s="175"/>
      <c r="BC18" s="177"/>
      <c r="BD18" s="1095" t="s">
        <v>368</v>
      </c>
      <c r="BE18" s="1095"/>
      <c r="BF18" s="1095"/>
      <c r="BG18" s="1095"/>
      <c r="BH18" s="1095"/>
      <c r="BI18" s="1095"/>
      <c r="BJ18" s="175"/>
      <c r="BK18" s="175"/>
      <c r="BL18" s="175"/>
      <c r="BM18" s="175"/>
      <c r="BN18" s="177"/>
      <c r="BO18" s="176"/>
      <c r="BP18" s="176"/>
      <c r="BQ18" s="176"/>
      <c r="BR18" s="176"/>
      <c r="BS18" s="175"/>
      <c r="BT18" s="175"/>
      <c r="BU18" s="175"/>
      <c r="BV18" s="175"/>
      <c r="BW18" s="175"/>
      <c r="BX18" s="175"/>
      <c r="BY18" s="177"/>
      <c r="BZ18" s="956" t="s">
        <v>433</v>
      </c>
      <c r="CA18" s="956"/>
      <c r="CB18" s="956"/>
      <c r="CC18" s="956"/>
      <c r="CD18" s="956"/>
      <c r="CE18" s="956"/>
      <c r="CF18" s="956"/>
      <c r="CG18" s="956"/>
      <c r="CH18" s="956"/>
      <c r="CI18" s="175"/>
      <c r="CJ18" s="177"/>
    </row>
    <row r="19" spans="1:88" ht="21" customHeight="1">
      <c r="A19" s="996" t="s">
        <v>739</v>
      </c>
      <c r="B19" s="996"/>
      <c r="C19" s="996"/>
      <c r="D19" s="996"/>
      <c r="E19" s="996"/>
      <c r="F19" s="996"/>
      <c r="G19" s="996"/>
      <c r="H19" s="996"/>
      <c r="I19" s="996"/>
      <c r="J19" s="996"/>
      <c r="K19" s="996"/>
      <c r="L19" s="996" t="s">
        <v>739</v>
      </c>
      <c r="M19" s="996"/>
      <c r="N19" s="996"/>
      <c r="O19" s="996"/>
      <c r="P19" s="996"/>
      <c r="Q19" s="996"/>
      <c r="R19" s="996"/>
      <c r="S19" s="996"/>
      <c r="T19" s="996"/>
      <c r="U19" s="996"/>
      <c r="V19" s="996"/>
      <c r="W19" s="996" t="s">
        <v>739</v>
      </c>
      <c r="X19" s="996"/>
      <c r="Y19" s="996"/>
      <c r="Z19" s="996"/>
      <c r="AA19" s="996"/>
      <c r="AB19" s="996"/>
      <c r="AC19" s="996"/>
      <c r="AD19" s="996"/>
      <c r="AE19" s="996"/>
      <c r="AF19" s="996"/>
      <c r="AG19" s="996"/>
      <c r="AH19" s="996" t="s">
        <v>739</v>
      </c>
      <c r="AI19" s="996"/>
      <c r="AJ19" s="996"/>
      <c r="AK19" s="996"/>
      <c r="AL19" s="996"/>
      <c r="AM19" s="996"/>
      <c r="AN19" s="996"/>
      <c r="AO19" s="996"/>
      <c r="AP19" s="996"/>
      <c r="AQ19" s="996"/>
      <c r="AR19" s="996"/>
      <c r="AS19" s="996" t="s">
        <v>739</v>
      </c>
      <c r="AT19" s="996"/>
      <c r="AU19" s="996"/>
      <c r="AV19" s="996"/>
      <c r="AW19" s="996"/>
      <c r="AX19" s="996"/>
      <c r="AY19" s="996"/>
      <c r="AZ19" s="996"/>
      <c r="BA19" s="996"/>
      <c r="BB19" s="996"/>
      <c r="BC19" s="996"/>
      <c r="BD19" s="996" t="s">
        <v>739</v>
      </c>
      <c r="BE19" s="996"/>
      <c r="BF19" s="996"/>
      <c r="BG19" s="996"/>
      <c r="BH19" s="996"/>
      <c r="BI19" s="996"/>
      <c r="BJ19" s="996"/>
      <c r="BK19" s="996"/>
      <c r="BL19" s="996"/>
      <c r="BM19" s="996"/>
      <c r="BN19" s="996"/>
      <c r="BO19" s="996" t="s">
        <v>739</v>
      </c>
      <c r="BP19" s="996"/>
      <c r="BQ19" s="996"/>
      <c r="BR19" s="996"/>
      <c r="BS19" s="996"/>
      <c r="BT19" s="996"/>
      <c r="BU19" s="996"/>
      <c r="BV19" s="996"/>
      <c r="BW19" s="996"/>
      <c r="BX19" s="996"/>
      <c r="BY19" s="996"/>
      <c r="BZ19" s="1093"/>
      <c r="CA19" s="1093"/>
      <c r="CB19" s="1093"/>
      <c r="CC19" s="1093"/>
      <c r="CD19" s="1093"/>
      <c r="CE19" s="1093"/>
      <c r="CF19" s="1093"/>
      <c r="CG19" s="1093"/>
      <c r="CH19" s="1093"/>
      <c r="CI19" s="1093"/>
      <c r="CJ19" s="1093"/>
    </row>
    <row r="20" spans="1:88" ht="21" customHeight="1">
      <c r="A20" s="996" t="s">
        <v>105</v>
      </c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996" t="s">
        <v>448</v>
      </c>
      <c r="M20" s="996"/>
      <c r="N20" s="996"/>
      <c r="O20" s="996"/>
      <c r="P20" s="996"/>
      <c r="Q20" s="996"/>
      <c r="R20" s="996"/>
      <c r="S20" s="996"/>
      <c r="T20" s="996"/>
      <c r="U20" s="996"/>
      <c r="V20" s="996"/>
      <c r="W20" s="996" t="s">
        <v>110</v>
      </c>
      <c r="X20" s="996"/>
      <c r="Y20" s="996"/>
      <c r="Z20" s="996"/>
      <c r="AA20" s="996"/>
      <c r="AB20" s="996"/>
      <c r="AC20" s="996"/>
      <c r="AD20" s="996"/>
      <c r="AE20" s="996"/>
      <c r="AF20" s="996"/>
      <c r="AG20" s="996"/>
      <c r="AH20" s="996" t="s">
        <v>109</v>
      </c>
      <c r="AI20" s="996"/>
      <c r="AJ20" s="996"/>
      <c r="AK20" s="996"/>
      <c r="AL20" s="996"/>
      <c r="AM20" s="996"/>
      <c r="AN20" s="996"/>
      <c r="AO20" s="996"/>
      <c r="AP20" s="996"/>
      <c r="AQ20" s="996"/>
      <c r="AR20" s="996"/>
      <c r="AS20" s="996" t="s">
        <v>111</v>
      </c>
      <c r="AT20" s="996"/>
      <c r="AU20" s="996"/>
      <c r="AV20" s="996"/>
      <c r="AW20" s="996"/>
      <c r="AX20" s="996"/>
      <c r="AY20" s="996"/>
      <c r="AZ20" s="996"/>
      <c r="BA20" s="996"/>
      <c r="BB20" s="996"/>
      <c r="BC20" s="996"/>
      <c r="BD20" s="996" t="s">
        <v>113</v>
      </c>
      <c r="BE20" s="996"/>
      <c r="BF20" s="996"/>
      <c r="BG20" s="996"/>
      <c r="BH20" s="996"/>
      <c r="BI20" s="996"/>
      <c r="BJ20" s="996"/>
      <c r="BK20" s="996"/>
      <c r="BL20" s="996"/>
      <c r="BM20" s="996"/>
      <c r="BN20" s="996"/>
      <c r="BO20" s="996" t="s">
        <v>115</v>
      </c>
      <c r="BP20" s="996"/>
      <c r="BQ20" s="996"/>
      <c r="BR20" s="996"/>
      <c r="BS20" s="996"/>
      <c r="BT20" s="996"/>
      <c r="BU20" s="996"/>
      <c r="BV20" s="996"/>
      <c r="BW20" s="996"/>
      <c r="BX20" s="996"/>
      <c r="BY20" s="996"/>
      <c r="BZ20" s="930"/>
      <c r="CA20" s="930"/>
      <c r="CB20" s="930"/>
      <c r="CC20" s="930"/>
      <c r="CD20" s="930"/>
      <c r="CE20" s="930"/>
      <c r="CF20" s="930"/>
      <c r="CG20" s="930"/>
      <c r="CH20" s="930"/>
      <c r="CI20" s="930"/>
      <c r="CJ20" s="930"/>
    </row>
    <row r="21" spans="1:88" ht="29.25" customHeight="1" thickBot="1">
      <c r="A21" s="986" t="s">
        <v>491</v>
      </c>
      <c r="B21" s="986"/>
      <c r="C21" s="986"/>
      <c r="D21" s="986"/>
      <c r="E21" s="986"/>
      <c r="F21" s="986"/>
      <c r="G21" s="986"/>
      <c r="H21" s="986"/>
      <c r="I21" s="986"/>
      <c r="J21" s="986"/>
      <c r="K21" s="986"/>
      <c r="L21" s="986" t="s">
        <v>491</v>
      </c>
      <c r="M21" s="986"/>
      <c r="N21" s="986"/>
      <c r="O21" s="986"/>
      <c r="P21" s="986"/>
      <c r="Q21" s="986"/>
      <c r="R21" s="986"/>
      <c r="S21" s="986"/>
      <c r="T21" s="986"/>
      <c r="U21" s="986"/>
      <c r="V21" s="986"/>
      <c r="W21" s="986" t="s">
        <v>491</v>
      </c>
      <c r="X21" s="986"/>
      <c r="Y21" s="986"/>
      <c r="Z21" s="986"/>
      <c r="AA21" s="986"/>
      <c r="AB21" s="986"/>
      <c r="AC21" s="986"/>
      <c r="AD21" s="986"/>
      <c r="AE21" s="986"/>
      <c r="AF21" s="986"/>
      <c r="AG21" s="986"/>
      <c r="AH21" s="986" t="s">
        <v>491</v>
      </c>
      <c r="AI21" s="986"/>
      <c r="AJ21" s="986"/>
      <c r="AK21" s="986"/>
      <c r="AL21" s="986"/>
      <c r="AM21" s="986"/>
      <c r="AN21" s="986"/>
      <c r="AO21" s="986"/>
      <c r="AP21" s="986"/>
      <c r="AQ21" s="986"/>
      <c r="AR21" s="986"/>
      <c r="AS21" s="986" t="s">
        <v>491</v>
      </c>
      <c r="AT21" s="986"/>
      <c r="AU21" s="986"/>
      <c r="AV21" s="986"/>
      <c r="AW21" s="986"/>
      <c r="AX21" s="986"/>
      <c r="AY21" s="986"/>
      <c r="AZ21" s="986"/>
      <c r="BA21" s="986"/>
      <c r="BB21" s="986"/>
      <c r="BC21" s="986"/>
      <c r="BD21" s="986" t="s">
        <v>491</v>
      </c>
      <c r="BE21" s="986"/>
      <c r="BF21" s="986"/>
      <c r="BG21" s="986"/>
      <c r="BH21" s="986"/>
      <c r="BI21" s="986"/>
      <c r="BJ21" s="986"/>
      <c r="BK21" s="986"/>
      <c r="BL21" s="986"/>
      <c r="BM21" s="986"/>
      <c r="BN21" s="986"/>
      <c r="BO21" s="986" t="s">
        <v>491</v>
      </c>
      <c r="BP21" s="986"/>
      <c r="BQ21" s="986"/>
      <c r="BR21" s="986"/>
      <c r="BS21" s="986"/>
      <c r="BT21" s="986"/>
      <c r="BU21" s="986"/>
      <c r="BV21" s="986"/>
      <c r="BW21" s="986"/>
      <c r="BX21" s="986"/>
      <c r="BY21" s="986"/>
      <c r="BZ21" s="986"/>
      <c r="CA21" s="986"/>
      <c r="CB21" s="986"/>
      <c r="CC21" s="986"/>
      <c r="CD21" s="986"/>
      <c r="CE21" s="986"/>
      <c r="CF21" s="986"/>
      <c r="CG21" s="986"/>
      <c r="CH21" s="986"/>
      <c r="CI21" s="986"/>
      <c r="CJ21" s="986"/>
    </row>
    <row r="22" spans="1:88" s="181" customFormat="1" ht="24.75" customHeight="1" thickTop="1">
      <c r="A22" s="984" t="s">
        <v>245</v>
      </c>
      <c r="B22" s="984"/>
      <c r="C22" s="984"/>
      <c r="D22" s="989" t="s">
        <v>201</v>
      </c>
      <c r="E22" s="988" t="s">
        <v>367</v>
      </c>
      <c r="F22" s="988"/>
      <c r="G22" s="988"/>
      <c r="H22" s="664"/>
      <c r="I22" s="988" t="s">
        <v>143</v>
      </c>
      <c r="J22" s="988"/>
      <c r="K22" s="988"/>
      <c r="L22" s="984" t="s">
        <v>245</v>
      </c>
      <c r="M22" s="984"/>
      <c r="N22" s="984"/>
      <c r="O22" s="989" t="s">
        <v>201</v>
      </c>
      <c r="P22" s="988" t="s">
        <v>367</v>
      </c>
      <c r="Q22" s="988"/>
      <c r="R22" s="988"/>
      <c r="S22" s="664"/>
      <c r="T22" s="988" t="s">
        <v>143</v>
      </c>
      <c r="U22" s="988"/>
      <c r="V22" s="988"/>
      <c r="W22" s="984" t="s">
        <v>245</v>
      </c>
      <c r="X22" s="984"/>
      <c r="Y22" s="984"/>
      <c r="Z22" s="989" t="s">
        <v>201</v>
      </c>
      <c r="AA22" s="988" t="s">
        <v>367</v>
      </c>
      <c r="AB22" s="988"/>
      <c r="AC22" s="988"/>
      <c r="AD22" s="664"/>
      <c r="AE22" s="988" t="s">
        <v>143</v>
      </c>
      <c r="AF22" s="988"/>
      <c r="AG22" s="988"/>
      <c r="AH22" s="984" t="s">
        <v>245</v>
      </c>
      <c r="AI22" s="984"/>
      <c r="AJ22" s="984"/>
      <c r="AK22" s="989" t="s">
        <v>201</v>
      </c>
      <c r="AL22" s="988" t="s">
        <v>367</v>
      </c>
      <c r="AM22" s="988"/>
      <c r="AN22" s="988"/>
      <c r="AO22" s="664"/>
      <c r="AP22" s="988" t="s">
        <v>143</v>
      </c>
      <c r="AQ22" s="988"/>
      <c r="AR22" s="988"/>
      <c r="AS22" s="984" t="s">
        <v>245</v>
      </c>
      <c r="AT22" s="984"/>
      <c r="AU22" s="984"/>
      <c r="AV22" s="989" t="s">
        <v>201</v>
      </c>
      <c r="AW22" s="988" t="s">
        <v>367</v>
      </c>
      <c r="AX22" s="988"/>
      <c r="AY22" s="988"/>
      <c r="AZ22" s="664"/>
      <c r="BA22" s="988" t="s">
        <v>143</v>
      </c>
      <c r="BB22" s="988"/>
      <c r="BC22" s="988"/>
      <c r="BD22" s="984" t="s">
        <v>245</v>
      </c>
      <c r="BE22" s="984"/>
      <c r="BF22" s="984"/>
      <c r="BG22" s="989" t="s">
        <v>201</v>
      </c>
      <c r="BH22" s="988" t="s">
        <v>367</v>
      </c>
      <c r="BI22" s="988"/>
      <c r="BJ22" s="988"/>
      <c r="BK22" s="664"/>
      <c r="BL22" s="988" t="s">
        <v>143</v>
      </c>
      <c r="BM22" s="988"/>
      <c r="BN22" s="988"/>
      <c r="BO22" s="984" t="s">
        <v>245</v>
      </c>
      <c r="BP22" s="984"/>
      <c r="BQ22" s="984"/>
      <c r="BR22" s="989" t="s">
        <v>201</v>
      </c>
      <c r="BS22" s="988" t="s">
        <v>367</v>
      </c>
      <c r="BT22" s="988"/>
      <c r="BU22" s="988"/>
      <c r="BV22" s="664"/>
      <c r="BW22" s="988" t="s">
        <v>143</v>
      </c>
      <c r="BX22" s="988"/>
      <c r="BY22" s="988"/>
      <c r="BZ22" s="1094"/>
      <c r="CA22" s="1094"/>
      <c r="CB22" s="1094"/>
      <c r="CC22" s="1088"/>
      <c r="CD22" s="1088"/>
      <c r="CE22" s="1088"/>
      <c r="CF22" s="1088"/>
      <c r="CG22" s="669"/>
      <c r="CH22" s="1088"/>
      <c r="CI22" s="1088"/>
      <c r="CJ22" s="1088"/>
    </row>
    <row r="23" spans="1:88" s="180" customFormat="1" ht="23.25" customHeight="1">
      <c r="A23" s="992"/>
      <c r="B23" s="992"/>
      <c r="C23" s="992"/>
      <c r="D23" s="990"/>
      <c r="E23" s="275" t="s">
        <v>127</v>
      </c>
      <c r="F23" s="275" t="s">
        <v>128</v>
      </c>
      <c r="G23" s="275" t="s">
        <v>144</v>
      </c>
      <c r="H23" s="269"/>
      <c r="I23" s="275" t="s">
        <v>127</v>
      </c>
      <c r="J23" s="275" t="s">
        <v>128</v>
      </c>
      <c r="K23" s="275" t="s">
        <v>144</v>
      </c>
      <c r="L23" s="992"/>
      <c r="M23" s="992"/>
      <c r="N23" s="992"/>
      <c r="O23" s="990"/>
      <c r="P23" s="275" t="s">
        <v>127</v>
      </c>
      <c r="Q23" s="687" t="s">
        <v>128</v>
      </c>
      <c r="R23" s="275" t="s">
        <v>144</v>
      </c>
      <c r="S23" s="269"/>
      <c r="T23" s="275" t="s">
        <v>127</v>
      </c>
      <c r="U23" s="687" t="s">
        <v>128</v>
      </c>
      <c r="V23" s="275" t="s">
        <v>144</v>
      </c>
      <c r="W23" s="992"/>
      <c r="X23" s="992"/>
      <c r="Y23" s="992"/>
      <c r="Z23" s="990"/>
      <c r="AA23" s="275" t="s">
        <v>127</v>
      </c>
      <c r="AB23" s="275" t="s">
        <v>128</v>
      </c>
      <c r="AC23" s="275" t="s">
        <v>144</v>
      </c>
      <c r="AD23" s="269"/>
      <c r="AE23" s="275" t="s">
        <v>127</v>
      </c>
      <c r="AF23" s="275" t="s">
        <v>128</v>
      </c>
      <c r="AG23" s="275" t="s">
        <v>144</v>
      </c>
      <c r="AH23" s="992"/>
      <c r="AI23" s="992"/>
      <c r="AJ23" s="992"/>
      <c r="AK23" s="990"/>
      <c r="AL23" s="275" t="s">
        <v>127</v>
      </c>
      <c r="AM23" s="275" t="s">
        <v>128</v>
      </c>
      <c r="AN23" s="275" t="s">
        <v>144</v>
      </c>
      <c r="AO23" s="269"/>
      <c r="AP23" s="275" t="s">
        <v>127</v>
      </c>
      <c r="AQ23" s="275" t="s">
        <v>128</v>
      </c>
      <c r="AR23" s="275" t="s">
        <v>144</v>
      </c>
      <c r="AS23" s="992"/>
      <c r="AT23" s="992"/>
      <c r="AU23" s="992"/>
      <c r="AV23" s="990"/>
      <c r="AW23" s="275" t="s">
        <v>127</v>
      </c>
      <c r="AX23" s="275" t="s">
        <v>128</v>
      </c>
      <c r="AY23" s="275" t="s">
        <v>144</v>
      </c>
      <c r="AZ23" s="269"/>
      <c r="BA23" s="275" t="s">
        <v>127</v>
      </c>
      <c r="BB23" s="275" t="s">
        <v>128</v>
      </c>
      <c r="BC23" s="275" t="s">
        <v>144</v>
      </c>
      <c r="BD23" s="992"/>
      <c r="BE23" s="992"/>
      <c r="BF23" s="992"/>
      <c r="BG23" s="990"/>
      <c r="BH23" s="275" t="s">
        <v>127</v>
      </c>
      <c r="BI23" s="275" t="s">
        <v>128</v>
      </c>
      <c r="BJ23" s="275" t="s">
        <v>144</v>
      </c>
      <c r="BK23" s="269"/>
      <c r="BL23" s="275" t="s">
        <v>127</v>
      </c>
      <c r="BM23" s="275" t="s">
        <v>128</v>
      </c>
      <c r="BN23" s="275" t="s">
        <v>144</v>
      </c>
      <c r="BO23" s="992"/>
      <c r="BP23" s="992"/>
      <c r="BQ23" s="992"/>
      <c r="BR23" s="990"/>
      <c r="BS23" s="275" t="s">
        <v>127</v>
      </c>
      <c r="BT23" s="275" t="s">
        <v>128</v>
      </c>
      <c r="BU23" s="275" t="s">
        <v>144</v>
      </c>
      <c r="BV23" s="269"/>
      <c r="BW23" s="275" t="s">
        <v>127</v>
      </c>
      <c r="BX23" s="275" t="s">
        <v>128</v>
      </c>
      <c r="BY23" s="275" t="s">
        <v>144</v>
      </c>
      <c r="BZ23" s="1094"/>
      <c r="CA23" s="1094"/>
      <c r="CB23" s="1094"/>
      <c r="CC23" s="1088"/>
      <c r="CD23" s="329"/>
      <c r="CE23" s="329"/>
      <c r="CF23" s="329"/>
      <c r="CG23" s="329"/>
      <c r="CH23" s="329"/>
      <c r="CI23" s="329"/>
      <c r="CJ23" s="329"/>
    </row>
    <row r="24" spans="1:88" ht="21" customHeight="1">
      <c r="A24" s="1083" t="s">
        <v>150</v>
      </c>
      <c r="B24" s="1083"/>
      <c r="C24" s="188" t="s">
        <v>202</v>
      </c>
      <c r="D24" s="25" t="s">
        <v>151</v>
      </c>
      <c r="E24" s="293">
        <v>28</v>
      </c>
      <c r="F24" s="293">
        <v>180</v>
      </c>
      <c r="G24" s="295">
        <v>78.599999999999994</v>
      </c>
      <c r="H24" s="295"/>
      <c r="I24" s="294">
        <v>0.02</v>
      </c>
      <c r="J24" s="295">
        <v>7</v>
      </c>
      <c r="K24" s="294">
        <v>1.1299999999999999</v>
      </c>
      <c r="L24" s="1083" t="s">
        <v>150</v>
      </c>
      <c r="M24" s="1083"/>
      <c r="N24" s="188" t="s">
        <v>202</v>
      </c>
      <c r="O24" s="25" t="s">
        <v>151</v>
      </c>
      <c r="P24" s="100">
        <v>0.9</v>
      </c>
      <c r="Q24" s="690">
        <v>24</v>
      </c>
      <c r="R24" s="100">
        <v>6.86</v>
      </c>
      <c r="S24" s="305"/>
      <c r="T24" s="100">
        <v>0.3</v>
      </c>
      <c r="U24" s="690">
        <v>19.899999999999999</v>
      </c>
      <c r="V24" s="693">
        <v>3.19</v>
      </c>
      <c r="W24" s="1083" t="s">
        <v>150</v>
      </c>
      <c r="X24" s="1083"/>
      <c r="Y24" s="188" t="s">
        <v>202</v>
      </c>
      <c r="Z24" s="25" t="s">
        <v>151</v>
      </c>
      <c r="AA24" s="503">
        <v>0.4</v>
      </c>
      <c r="AB24" s="501">
        <v>128</v>
      </c>
      <c r="AC24" s="502">
        <v>7.84</v>
      </c>
      <c r="AD24" s="502"/>
      <c r="AE24" s="503">
        <v>0.2</v>
      </c>
      <c r="AF24" s="501">
        <v>21</v>
      </c>
      <c r="AG24" s="502">
        <v>2.72</v>
      </c>
      <c r="AH24" s="1083" t="s">
        <v>150</v>
      </c>
      <c r="AI24" s="1083"/>
      <c r="AJ24" s="188" t="s">
        <v>202</v>
      </c>
      <c r="AK24" s="25" t="s">
        <v>151</v>
      </c>
      <c r="AL24" s="293">
        <v>3</v>
      </c>
      <c r="AM24" s="293">
        <v>1000</v>
      </c>
      <c r="AN24" s="295">
        <v>49.9</v>
      </c>
      <c r="AO24" s="294"/>
      <c r="AP24" s="295">
        <v>0.8</v>
      </c>
      <c r="AQ24" s="293">
        <v>190</v>
      </c>
      <c r="AR24" s="294">
        <v>11.84</v>
      </c>
      <c r="AS24" s="1083" t="s">
        <v>150</v>
      </c>
      <c r="AT24" s="1083"/>
      <c r="AU24" s="188" t="s">
        <v>202</v>
      </c>
      <c r="AV24" s="25" t="s">
        <v>151</v>
      </c>
      <c r="AW24" s="295">
        <v>0.9</v>
      </c>
      <c r="AX24" s="293">
        <v>173</v>
      </c>
      <c r="AY24" s="294">
        <v>7.29</v>
      </c>
      <c r="AZ24" s="294"/>
      <c r="BA24" s="295">
        <v>0.5</v>
      </c>
      <c r="BB24" s="293">
        <v>39</v>
      </c>
      <c r="BC24" s="294">
        <v>5.07</v>
      </c>
      <c r="BD24" s="1083" t="s">
        <v>150</v>
      </c>
      <c r="BE24" s="1083"/>
      <c r="BF24" s="188" t="s">
        <v>202</v>
      </c>
      <c r="BG24" s="25" t="s">
        <v>151</v>
      </c>
      <c r="BH24" s="503">
        <v>1.3</v>
      </c>
      <c r="BI24" s="501">
        <v>215</v>
      </c>
      <c r="BJ24" s="502">
        <v>34.590000000000003</v>
      </c>
      <c r="BK24" s="502"/>
      <c r="BL24" s="502">
        <v>0.54</v>
      </c>
      <c r="BM24" s="501">
        <v>98</v>
      </c>
      <c r="BN24" s="502">
        <v>9.6300000000000008</v>
      </c>
      <c r="BO24" s="1083" t="s">
        <v>150</v>
      </c>
      <c r="BP24" s="1083"/>
      <c r="BQ24" s="188" t="s">
        <v>202</v>
      </c>
      <c r="BR24" s="25" t="s">
        <v>151</v>
      </c>
      <c r="BS24" s="501">
        <v>2</v>
      </c>
      <c r="BT24" s="501">
        <v>231</v>
      </c>
      <c r="BU24" s="503">
        <v>38.700000000000003</v>
      </c>
      <c r="BV24" s="502"/>
      <c r="BW24" s="503">
        <v>0.2</v>
      </c>
      <c r="BX24" s="501">
        <v>83</v>
      </c>
      <c r="BY24" s="503">
        <v>16.8</v>
      </c>
      <c r="BZ24" s="1091"/>
      <c r="CA24" s="1091"/>
      <c r="CB24" s="330"/>
      <c r="CC24" s="30"/>
      <c r="CD24" s="331"/>
      <c r="CE24" s="331"/>
      <c r="CF24" s="331"/>
      <c r="CG24" s="331"/>
      <c r="CH24" s="331"/>
      <c r="CI24" s="331"/>
      <c r="CJ24" s="331"/>
    </row>
    <row r="25" spans="1:88" ht="21" customHeight="1">
      <c r="A25" s="1084" t="s">
        <v>203</v>
      </c>
      <c r="B25" s="1084"/>
      <c r="C25" s="189" t="s">
        <v>204</v>
      </c>
      <c r="D25" s="25" t="s">
        <v>151</v>
      </c>
      <c r="E25" s="296">
        <v>168</v>
      </c>
      <c r="F25" s="296">
        <v>177</v>
      </c>
      <c r="G25" s="296">
        <v>172</v>
      </c>
      <c r="H25" s="297"/>
      <c r="I25" s="296">
        <v>160</v>
      </c>
      <c r="J25" s="296">
        <v>670</v>
      </c>
      <c r="K25" s="296">
        <v>255</v>
      </c>
      <c r="L25" s="1084" t="s">
        <v>203</v>
      </c>
      <c r="M25" s="1084"/>
      <c r="N25" s="189" t="s">
        <v>204</v>
      </c>
      <c r="O25" s="25" t="s">
        <v>151</v>
      </c>
      <c r="P25" s="100">
        <v>264</v>
      </c>
      <c r="Q25" s="690">
        <v>399</v>
      </c>
      <c r="R25" s="100">
        <v>328</v>
      </c>
      <c r="S25" s="305"/>
      <c r="T25" s="100">
        <v>262</v>
      </c>
      <c r="U25" s="690">
        <v>383</v>
      </c>
      <c r="V25" s="693">
        <v>325</v>
      </c>
      <c r="W25" s="1084" t="s">
        <v>203</v>
      </c>
      <c r="X25" s="1084"/>
      <c r="Y25" s="189" t="s">
        <v>204</v>
      </c>
      <c r="Z25" s="25" t="s">
        <v>151</v>
      </c>
      <c r="AA25" s="504">
        <v>291</v>
      </c>
      <c r="AB25" s="504">
        <v>449</v>
      </c>
      <c r="AC25" s="504">
        <v>337</v>
      </c>
      <c r="AD25" s="506"/>
      <c r="AE25" s="504">
        <v>291</v>
      </c>
      <c r="AF25" s="504">
        <v>452</v>
      </c>
      <c r="AG25" s="504">
        <v>335</v>
      </c>
      <c r="AH25" s="1084" t="s">
        <v>203</v>
      </c>
      <c r="AI25" s="1084"/>
      <c r="AJ25" s="189" t="s">
        <v>204</v>
      </c>
      <c r="AK25" s="25" t="s">
        <v>151</v>
      </c>
      <c r="AL25" s="296">
        <v>260</v>
      </c>
      <c r="AM25" s="296">
        <v>624</v>
      </c>
      <c r="AN25" s="296">
        <v>394</v>
      </c>
      <c r="AO25" s="297"/>
      <c r="AP25" s="296">
        <v>262</v>
      </c>
      <c r="AQ25" s="296">
        <v>743</v>
      </c>
      <c r="AR25" s="296">
        <v>396</v>
      </c>
      <c r="AS25" s="1084" t="s">
        <v>203</v>
      </c>
      <c r="AT25" s="1084"/>
      <c r="AU25" s="189" t="s">
        <v>204</v>
      </c>
      <c r="AV25" s="25" t="s">
        <v>151</v>
      </c>
      <c r="AW25" s="296">
        <v>300</v>
      </c>
      <c r="AX25" s="296">
        <v>524</v>
      </c>
      <c r="AY25" s="296">
        <v>389</v>
      </c>
      <c r="AZ25" s="297"/>
      <c r="BA25" s="296">
        <v>314</v>
      </c>
      <c r="BB25" s="296">
        <v>524</v>
      </c>
      <c r="BC25" s="296">
        <v>391</v>
      </c>
      <c r="BD25" s="1084" t="s">
        <v>203</v>
      </c>
      <c r="BE25" s="1084"/>
      <c r="BF25" s="189" t="s">
        <v>204</v>
      </c>
      <c r="BG25" s="25" t="s">
        <v>151</v>
      </c>
      <c r="BH25" s="504">
        <v>315</v>
      </c>
      <c r="BI25" s="504">
        <v>3864</v>
      </c>
      <c r="BJ25" s="504">
        <v>638</v>
      </c>
      <c r="BK25" s="505"/>
      <c r="BL25" s="504">
        <v>316</v>
      </c>
      <c r="BM25" s="504">
        <v>3877</v>
      </c>
      <c r="BN25" s="504">
        <v>637</v>
      </c>
      <c r="BO25" s="1084" t="s">
        <v>203</v>
      </c>
      <c r="BP25" s="1084"/>
      <c r="BQ25" s="189" t="s">
        <v>204</v>
      </c>
      <c r="BR25" s="25" t="s">
        <v>151</v>
      </c>
      <c r="BS25" s="504">
        <v>240</v>
      </c>
      <c r="BT25" s="504">
        <v>671</v>
      </c>
      <c r="BU25" s="504">
        <v>516</v>
      </c>
      <c r="BV25" s="506"/>
      <c r="BW25" s="504">
        <v>232</v>
      </c>
      <c r="BX25" s="504">
        <v>832</v>
      </c>
      <c r="BY25" s="504">
        <v>515</v>
      </c>
      <c r="BZ25" s="1091"/>
      <c r="CA25" s="1091"/>
      <c r="CB25" s="330"/>
      <c r="CC25" s="30"/>
      <c r="CD25" s="331"/>
      <c r="CE25" s="331"/>
      <c r="CF25" s="331"/>
      <c r="CG25" s="331"/>
      <c r="CH25" s="331"/>
      <c r="CI25" s="331"/>
      <c r="CJ25" s="331"/>
    </row>
    <row r="26" spans="1:88" ht="21" customHeight="1">
      <c r="A26" s="1084" t="s">
        <v>153</v>
      </c>
      <c r="B26" s="1084"/>
      <c r="C26" s="189" t="s">
        <v>205</v>
      </c>
      <c r="D26" s="25" t="s">
        <v>151</v>
      </c>
      <c r="E26" s="296">
        <v>148</v>
      </c>
      <c r="F26" s="296">
        <v>155</v>
      </c>
      <c r="G26" s="296">
        <v>151</v>
      </c>
      <c r="H26" s="297"/>
      <c r="I26" s="296">
        <v>105</v>
      </c>
      <c r="J26" s="296">
        <v>245</v>
      </c>
      <c r="K26" s="296">
        <v>172</v>
      </c>
      <c r="L26" s="1084" t="s">
        <v>153</v>
      </c>
      <c r="M26" s="1084"/>
      <c r="N26" s="189" t="s">
        <v>205</v>
      </c>
      <c r="O26" s="25" t="s">
        <v>151</v>
      </c>
      <c r="P26" s="100">
        <v>81</v>
      </c>
      <c r="Q26" s="690">
        <v>135</v>
      </c>
      <c r="R26" s="100">
        <v>107</v>
      </c>
      <c r="S26" s="305"/>
      <c r="T26" s="100">
        <v>80</v>
      </c>
      <c r="U26" s="690">
        <v>133</v>
      </c>
      <c r="V26" s="693">
        <v>105</v>
      </c>
      <c r="W26" s="1084" t="s">
        <v>153</v>
      </c>
      <c r="X26" s="1084"/>
      <c r="Y26" s="189" t="s">
        <v>205</v>
      </c>
      <c r="Z26" s="25" t="s">
        <v>151</v>
      </c>
      <c r="AA26" s="504">
        <v>86</v>
      </c>
      <c r="AB26" s="504">
        <v>156</v>
      </c>
      <c r="AC26" s="504">
        <v>128</v>
      </c>
      <c r="AD26" s="506"/>
      <c r="AE26" s="504">
        <v>88</v>
      </c>
      <c r="AF26" s="504">
        <v>160</v>
      </c>
      <c r="AG26" s="504">
        <v>127</v>
      </c>
      <c r="AH26" s="1084" t="s">
        <v>153</v>
      </c>
      <c r="AI26" s="1084"/>
      <c r="AJ26" s="189" t="s">
        <v>205</v>
      </c>
      <c r="AK26" s="25" t="s">
        <v>151</v>
      </c>
      <c r="AL26" s="296">
        <v>120</v>
      </c>
      <c r="AM26" s="296">
        <v>280</v>
      </c>
      <c r="AN26" s="296">
        <v>157</v>
      </c>
      <c r="AO26" s="297"/>
      <c r="AP26" s="296">
        <v>120</v>
      </c>
      <c r="AQ26" s="296">
        <v>275</v>
      </c>
      <c r="AR26" s="296">
        <v>154</v>
      </c>
      <c r="AS26" s="1084" t="s">
        <v>153</v>
      </c>
      <c r="AT26" s="1084"/>
      <c r="AU26" s="189" t="s">
        <v>205</v>
      </c>
      <c r="AV26" s="25" t="s">
        <v>151</v>
      </c>
      <c r="AW26" s="296">
        <v>88</v>
      </c>
      <c r="AX26" s="296">
        <v>160</v>
      </c>
      <c r="AY26" s="296">
        <v>107</v>
      </c>
      <c r="AZ26" s="297"/>
      <c r="BA26" s="296">
        <v>88</v>
      </c>
      <c r="BB26" s="296">
        <v>160</v>
      </c>
      <c r="BC26" s="296">
        <v>107</v>
      </c>
      <c r="BD26" s="1084" t="s">
        <v>153</v>
      </c>
      <c r="BE26" s="1084"/>
      <c r="BF26" s="189" t="s">
        <v>205</v>
      </c>
      <c r="BG26" s="25" t="s">
        <v>151</v>
      </c>
      <c r="BH26" s="504">
        <v>88</v>
      </c>
      <c r="BI26" s="504">
        <v>236</v>
      </c>
      <c r="BJ26" s="504">
        <v>134</v>
      </c>
      <c r="BK26" s="506"/>
      <c r="BL26" s="504">
        <v>90</v>
      </c>
      <c r="BM26" s="504">
        <v>240</v>
      </c>
      <c r="BN26" s="504">
        <v>133</v>
      </c>
      <c r="BO26" s="1084" t="s">
        <v>153</v>
      </c>
      <c r="BP26" s="1084"/>
      <c r="BQ26" s="189" t="s">
        <v>205</v>
      </c>
      <c r="BR26" s="25" t="s">
        <v>151</v>
      </c>
      <c r="BS26" s="504">
        <v>130</v>
      </c>
      <c r="BT26" s="504">
        <v>190</v>
      </c>
      <c r="BU26" s="504">
        <v>165</v>
      </c>
      <c r="BV26" s="506"/>
      <c r="BW26" s="504">
        <v>138</v>
      </c>
      <c r="BX26" s="504">
        <v>192</v>
      </c>
      <c r="BY26" s="504">
        <v>162</v>
      </c>
      <c r="BZ26" s="1091"/>
      <c r="CA26" s="1091"/>
      <c r="CB26" s="330"/>
      <c r="CC26" s="30"/>
      <c r="CD26" s="331"/>
      <c r="CE26" s="331"/>
      <c r="CF26" s="331"/>
      <c r="CG26" s="331"/>
      <c r="CH26" s="331"/>
      <c r="CI26" s="331"/>
      <c r="CJ26" s="331"/>
    </row>
    <row r="27" spans="1:88" ht="21" customHeight="1">
      <c r="A27" s="1085" t="s">
        <v>206</v>
      </c>
      <c r="B27" s="1085"/>
      <c r="C27" s="189" t="s">
        <v>207</v>
      </c>
      <c r="D27" s="25" t="s">
        <v>151</v>
      </c>
      <c r="E27" s="296">
        <v>250</v>
      </c>
      <c r="F27" s="296">
        <v>370</v>
      </c>
      <c r="G27" s="296">
        <v>265</v>
      </c>
      <c r="H27" s="297"/>
      <c r="I27" s="296">
        <v>248</v>
      </c>
      <c r="J27" s="296">
        <v>984</v>
      </c>
      <c r="K27" s="296">
        <v>394</v>
      </c>
      <c r="L27" s="1085" t="s">
        <v>206</v>
      </c>
      <c r="M27" s="1085"/>
      <c r="N27" s="189" t="s">
        <v>207</v>
      </c>
      <c r="O27" s="25" t="s">
        <v>151</v>
      </c>
      <c r="P27" s="100">
        <v>520</v>
      </c>
      <c r="Q27" s="690">
        <v>770</v>
      </c>
      <c r="R27" s="100">
        <v>672</v>
      </c>
      <c r="S27" s="305"/>
      <c r="T27" s="100">
        <v>500</v>
      </c>
      <c r="U27" s="690">
        <v>792</v>
      </c>
      <c r="V27" s="693">
        <v>668</v>
      </c>
      <c r="W27" s="1085" t="s">
        <v>206</v>
      </c>
      <c r="X27" s="1085"/>
      <c r="Y27" s="189" t="s">
        <v>207</v>
      </c>
      <c r="Z27" s="25" t="s">
        <v>151</v>
      </c>
      <c r="AA27" s="504">
        <v>520</v>
      </c>
      <c r="AB27" s="504">
        <v>920</v>
      </c>
      <c r="AC27" s="504">
        <v>655</v>
      </c>
      <c r="AD27" s="506"/>
      <c r="AE27" s="504">
        <v>510</v>
      </c>
      <c r="AF27" s="504">
        <v>882</v>
      </c>
      <c r="AG27" s="504">
        <v>652</v>
      </c>
      <c r="AH27" s="1085" t="s">
        <v>206</v>
      </c>
      <c r="AI27" s="1085"/>
      <c r="AJ27" s="189" t="s">
        <v>207</v>
      </c>
      <c r="AK27" s="25" t="s">
        <v>151</v>
      </c>
      <c r="AL27" s="296">
        <v>494</v>
      </c>
      <c r="AM27" s="296">
        <v>1122</v>
      </c>
      <c r="AN27" s="296">
        <v>723</v>
      </c>
      <c r="AO27" s="297"/>
      <c r="AP27" s="296">
        <v>498</v>
      </c>
      <c r="AQ27" s="296">
        <v>1302</v>
      </c>
      <c r="AR27" s="296">
        <v>727</v>
      </c>
      <c r="AS27" s="1085" t="s">
        <v>206</v>
      </c>
      <c r="AT27" s="1085"/>
      <c r="AU27" s="189" t="s">
        <v>207</v>
      </c>
      <c r="AV27" s="25" t="s">
        <v>151</v>
      </c>
      <c r="AW27" s="296">
        <v>600</v>
      </c>
      <c r="AX27" s="296">
        <v>1092</v>
      </c>
      <c r="AY27" s="296">
        <v>766</v>
      </c>
      <c r="AZ27" s="297"/>
      <c r="BA27" s="296">
        <v>592</v>
      </c>
      <c r="BB27" s="296">
        <v>1080</v>
      </c>
      <c r="BC27" s="296">
        <v>767</v>
      </c>
      <c r="BD27" s="1085" t="s">
        <v>206</v>
      </c>
      <c r="BE27" s="1085"/>
      <c r="BF27" s="189" t="s">
        <v>207</v>
      </c>
      <c r="BG27" s="25" t="s">
        <v>151</v>
      </c>
      <c r="BH27" s="504">
        <v>438</v>
      </c>
      <c r="BI27" s="504">
        <v>7588</v>
      </c>
      <c r="BJ27" s="504">
        <v>1429</v>
      </c>
      <c r="BK27" s="506"/>
      <c r="BL27" s="504">
        <v>324</v>
      </c>
      <c r="BM27" s="504">
        <v>7596</v>
      </c>
      <c r="BN27" s="504">
        <v>1434</v>
      </c>
      <c r="BO27" s="1085" t="s">
        <v>206</v>
      </c>
      <c r="BP27" s="1085"/>
      <c r="BQ27" s="189" t="s">
        <v>207</v>
      </c>
      <c r="BR27" s="25" t="s">
        <v>151</v>
      </c>
      <c r="BS27" s="504">
        <v>560</v>
      </c>
      <c r="BT27" s="504">
        <v>2396</v>
      </c>
      <c r="BU27" s="504">
        <v>1340</v>
      </c>
      <c r="BV27" s="506"/>
      <c r="BW27" s="504">
        <v>564</v>
      </c>
      <c r="BX27" s="504">
        <v>2346</v>
      </c>
      <c r="BY27" s="504">
        <v>1340</v>
      </c>
      <c r="BZ27" s="1092"/>
      <c r="CA27" s="1092"/>
      <c r="CB27" s="330"/>
      <c r="CC27" s="30"/>
      <c r="CD27" s="331"/>
      <c r="CE27" s="331"/>
      <c r="CF27" s="331"/>
      <c r="CG27" s="331"/>
      <c r="CH27" s="331"/>
      <c r="CI27" s="331"/>
      <c r="CJ27" s="331"/>
    </row>
    <row r="28" spans="1:88" ht="21" customHeight="1">
      <c r="A28" s="1084" t="s">
        <v>208</v>
      </c>
      <c r="B28" s="1084"/>
      <c r="C28" s="189" t="s">
        <v>152</v>
      </c>
      <c r="D28" s="276"/>
      <c r="E28" s="297">
        <v>7.2</v>
      </c>
      <c r="F28" s="297">
        <v>7.3</v>
      </c>
      <c r="G28" s="298">
        <v>7.23</v>
      </c>
      <c r="H28" s="297"/>
      <c r="I28" s="296">
        <v>7</v>
      </c>
      <c r="J28" s="297">
        <v>7.8</v>
      </c>
      <c r="K28" s="297">
        <v>7.4</v>
      </c>
      <c r="L28" s="1084" t="s">
        <v>208</v>
      </c>
      <c r="M28" s="1084"/>
      <c r="N28" s="189" t="s">
        <v>152</v>
      </c>
      <c r="O28" s="276"/>
      <c r="P28" s="100">
        <v>7</v>
      </c>
      <c r="Q28" s="690">
        <v>8.8000000000000007</v>
      </c>
      <c r="R28" s="100">
        <v>8.0299999999999994</v>
      </c>
      <c r="S28" s="305"/>
      <c r="T28" s="100">
        <v>7.1</v>
      </c>
      <c r="U28" s="690">
        <v>8.6999999999999993</v>
      </c>
      <c r="V28" s="693">
        <v>7.9</v>
      </c>
      <c r="W28" s="1084" t="s">
        <v>208</v>
      </c>
      <c r="X28" s="1084"/>
      <c r="Y28" s="189" t="s">
        <v>152</v>
      </c>
      <c r="Z28" s="276"/>
      <c r="AA28" s="506">
        <v>7.1</v>
      </c>
      <c r="AB28" s="506">
        <v>8.6999999999999993</v>
      </c>
      <c r="AC28" s="506">
        <v>7.7</v>
      </c>
      <c r="AD28" s="505"/>
      <c r="AE28" s="506">
        <v>6.8</v>
      </c>
      <c r="AF28" s="506">
        <v>8.4</v>
      </c>
      <c r="AG28" s="506">
        <v>7.6</v>
      </c>
      <c r="AH28" s="1084" t="s">
        <v>208</v>
      </c>
      <c r="AI28" s="1084"/>
      <c r="AJ28" s="189" t="s">
        <v>152</v>
      </c>
      <c r="AK28" s="276"/>
      <c r="AL28" s="297">
        <v>6.4</v>
      </c>
      <c r="AM28" s="297">
        <v>8.4</v>
      </c>
      <c r="AN28" s="297">
        <v>7.5</v>
      </c>
      <c r="AO28" s="298"/>
      <c r="AP28" s="297">
        <v>6.1</v>
      </c>
      <c r="AQ28" s="297">
        <v>8.1999999999999993</v>
      </c>
      <c r="AR28" s="297">
        <v>7.3</v>
      </c>
      <c r="AS28" s="1084" t="s">
        <v>208</v>
      </c>
      <c r="AT28" s="1084"/>
      <c r="AU28" s="189" t="s">
        <v>152</v>
      </c>
      <c r="AV28" s="276"/>
      <c r="AW28" s="297">
        <v>6.1</v>
      </c>
      <c r="AX28" s="297">
        <v>8.6999999999999993</v>
      </c>
      <c r="AY28" s="297">
        <v>7.6</v>
      </c>
      <c r="AZ28" s="298"/>
      <c r="BA28" s="297">
        <v>6.1</v>
      </c>
      <c r="BB28" s="297">
        <v>8.6999999999999993</v>
      </c>
      <c r="BC28" s="297">
        <v>7.6</v>
      </c>
      <c r="BD28" s="1084" t="s">
        <v>208</v>
      </c>
      <c r="BE28" s="1084"/>
      <c r="BF28" s="189" t="s">
        <v>152</v>
      </c>
      <c r="BG28" s="276"/>
      <c r="BH28" s="504">
        <v>7</v>
      </c>
      <c r="BI28" s="506">
        <v>8.6</v>
      </c>
      <c r="BJ28" s="505">
        <v>7.98</v>
      </c>
      <c r="BK28" s="506"/>
      <c r="BL28" s="506">
        <v>7.1</v>
      </c>
      <c r="BM28" s="506">
        <v>8.5</v>
      </c>
      <c r="BN28" s="506">
        <v>7.9</v>
      </c>
      <c r="BO28" s="1084" t="s">
        <v>208</v>
      </c>
      <c r="BP28" s="1084"/>
      <c r="BQ28" s="189" t="s">
        <v>152</v>
      </c>
      <c r="BR28" s="276"/>
      <c r="BS28" s="506">
        <v>6.8</v>
      </c>
      <c r="BT28" s="506">
        <v>8.3000000000000007</v>
      </c>
      <c r="BU28" s="505">
        <v>7.52</v>
      </c>
      <c r="BV28" s="505"/>
      <c r="BW28" s="506">
        <v>6.8</v>
      </c>
      <c r="BX28" s="506">
        <v>8.3000000000000007</v>
      </c>
      <c r="BY28" s="506">
        <v>7.4</v>
      </c>
      <c r="BZ28" s="1091"/>
      <c r="CA28" s="1091"/>
      <c r="CB28" s="330"/>
      <c r="CC28" s="30"/>
      <c r="CD28" s="331"/>
      <c r="CE28" s="331"/>
      <c r="CF28" s="331"/>
      <c r="CG28" s="331"/>
      <c r="CH28" s="331"/>
      <c r="CI28" s="331"/>
      <c r="CJ28" s="331"/>
    </row>
    <row r="29" spans="1:88" ht="21" customHeight="1">
      <c r="A29" s="1084" t="s">
        <v>209</v>
      </c>
      <c r="B29" s="1084"/>
      <c r="C29" s="189" t="s">
        <v>210</v>
      </c>
      <c r="D29" s="25" t="s">
        <v>151</v>
      </c>
      <c r="E29" s="296">
        <v>12</v>
      </c>
      <c r="F29" s="296">
        <v>16</v>
      </c>
      <c r="G29" s="296">
        <v>14</v>
      </c>
      <c r="H29" s="297"/>
      <c r="I29" s="299">
        <v>12</v>
      </c>
      <c r="J29" s="299">
        <v>112</v>
      </c>
      <c r="K29" s="299">
        <v>25</v>
      </c>
      <c r="L29" s="1084" t="s">
        <v>209</v>
      </c>
      <c r="M29" s="1084"/>
      <c r="N29" s="189" t="s">
        <v>210</v>
      </c>
      <c r="O29" s="25" t="s">
        <v>151</v>
      </c>
      <c r="P29" s="100">
        <v>73</v>
      </c>
      <c r="Q29" s="690">
        <v>127</v>
      </c>
      <c r="R29" s="100">
        <v>98</v>
      </c>
      <c r="S29" s="305"/>
      <c r="T29" s="100">
        <v>72</v>
      </c>
      <c r="U29" s="690">
        <v>125</v>
      </c>
      <c r="V29" s="693">
        <v>97</v>
      </c>
      <c r="W29" s="1084" t="s">
        <v>209</v>
      </c>
      <c r="X29" s="1084"/>
      <c r="Y29" s="189" t="s">
        <v>210</v>
      </c>
      <c r="Z29" s="25" t="s">
        <v>151</v>
      </c>
      <c r="AA29" s="504">
        <v>84</v>
      </c>
      <c r="AB29" s="504">
        <v>170</v>
      </c>
      <c r="AC29" s="504">
        <v>107</v>
      </c>
      <c r="AD29" s="506"/>
      <c r="AE29" s="504">
        <v>90</v>
      </c>
      <c r="AF29" s="504">
        <v>171</v>
      </c>
      <c r="AG29" s="504">
        <v>109</v>
      </c>
      <c r="AH29" s="1084" t="s">
        <v>209</v>
      </c>
      <c r="AI29" s="1084"/>
      <c r="AJ29" s="189" t="s">
        <v>210</v>
      </c>
      <c r="AK29" s="25" t="s">
        <v>151</v>
      </c>
      <c r="AL29" s="296">
        <v>72</v>
      </c>
      <c r="AM29" s="296">
        <v>318</v>
      </c>
      <c r="AN29" s="296">
        <v>108</v>
      </c>
      <c r="AO29" s="297"/>
      <c r="AP29" s="296">
        <v>73</v>
      </c>
      <c r="AQ29" s="296">
        <v>322</v>
      </c>
      <c r="AR29" s="296">
        <v>110</v>
      </c>
      <c r="AS29" s="1084" t="s">
        <v>209</v>
      </c>
      <c r="AT29" s="1084"/>
      <c r="AU29" s="189" t="s">
        <v>210</v>
      </c>
      <c r="AV29" s="25" t="s">
        <v>151</v>
      </c>
      <c r="AW29" s="296">
        <v>105</v>
      </c>
      <c r="AX29" s="296">
        <v>198</v>
      </c>
      <c r="AY29" s="296">
        <v>123</v>
      </c>
      <c r="AZ29" s="297"/>
      <c r="BA29" s="296">
        <v>105</v>
      </c>
      <c r="BB29" s="296">
        <v>198</v>
      </c>
      <c r="BC29" s="296">
        <v>124</v>
      </c>
      <c r="BD29" s="1084" t="s">
        <v>209</v>
      </c>
      <c r="BE29" s="1084"/>
      <c r="BF29" s="189" t="s">
        <v>210</v>
      </c>
      <c r="BG29" s="25" t="s">
        <v>151</v>
      </c>
      <c r="BH29" s="504">
        <v>122</v>
      </c>
      <c r="BI29" s="504">
        <v>2356</v>
      </c>
      <c r="BJ29" s="504">
        <v>357</v>
      </c>
      <c r="BK29" s="506"/>
      <c r="BL29" s="504">
        <v>125</v>
      </c>
      <c r="BM29" s="504">
        <v>2366</v>
      </c>
      <c r="BN29" s="504">
        <v>358</v>
      </c>
      <c r="BO29" s="1084" t="s">
        <v>209</v>
      </c>
      <c r="BP29" s="1084"/>
      <c r="BQ29" s="189" t="s">
        <v>210</v>
      </c>
      <c r="BR29" s="25" t="s">
        <v>151</v>
      </c>
      <c r="BS29" s="510">
        <v>96</v>
      </c>
      <c r="BT29" s="510">
        <v>773</v>
      </c>
      <c r="BU29" s="510">
        <v>385</v>
      </c>
      <c r="BV29" s="505"/>
      <c r="BW29" s="504">
        <v>98</v>
      </c>
      <c r="BX29" s="504">
        <v>760</v>
      </c>
      <c r="BY29" s="504">
        <v>386</v>
      </c>
      <c r="BZ29" s="1091"/>
      <c r="CA29" s="1091"/>
      <c r="CB29" s="330"/>
      <c r="CC29" s="30"/>
      <c r="CD29" s="331"/>
      <c r="CE29" s="331"/>
      <c r="CF29" s="331"/>
      <c r="CG29" s="331"/>
      <c r="CH29" s="331"/>
      <c r="CI29" s="331"/>
      <c r="CJ29" s="331"/>
    </row>
    <row r="30" spans="1:88" ht="21" customHeight="1">
      <c r="A30" s="1084" t="s">
        <v>211</v>
      </c>
      <c r="B30" s="1084"/>
      <c r="C30" s="189" t="s">
        <v>212</v>
      </c>
      <c r="D30" s="25" t="s">
        <v>151</v>
      </c>
      <c r="E30" s="299">
        <v>28</v>
      </c>
      <c r="F30" s="299">
        <v>40</v>
      </c>
      <c r="G30" s="299">
        <v>38</v>
      </c>
      <c r="H30" s="300"/>
      <c r="I30" s="296">
        <v>22</v>
      </c>
      <c r="J30" s="296">
        <v>152</v>
      </c>
      <c r="K30" s="296">
        <v>53</v>
      </c>
      <c r="L30" s="1084" t="s">
        <v>211</v>
      </c>
      <c r="M30" s="1084"/>
      <c r="N30" s="189" t="s">
        <v>212</v>
      </c>
      <c r="O30" s="25" t="s">
        <v>151</v>
      </c>
      <c r="P30" s="100">
        <v>60</v>
      </c>
      <c r="Q30" s="690">
        <v>110</v>
      </c>
      <c r="R30" s="100">
        <v>81</v>
      </c>
      <c r="S30" s="305"/>
      <c r="T30" s="100">
        <v>55</v>
      </c>
      <c r="U30" s="690">
        <v>110</v>
      </c>
      <c r="V30" s="693">
        <v>79</v>
      </c>
      <c r="W30" s="1084" t="s">
        <v>211</v>
      </c>
      <c r="X30" s="1084"/>
      <c r="Y30" s="189" t="s">
        <v>212</v>
      </c>
      <c r="Z30" s="25" t="s">
        <v>151</v>
      </c>
      <c r="AA30" s="507">
        <v>60</v>
      </c>
      <c r="AB30" s="507">
        <v>118</v>
      </c>
      <c r="AC30" s="507">
        <v>79</v>
      </c>
      <c r="AD30" s="508"/>
      <c r="AE30" s="504">
        <v>60</v>
      </c>
      <c r="AF30" s="504">
        <v>119</v>
      </c>
      <c r="AG30" s="504">
        <v>79</v>
      </c>
      <c r="AH30" s="1084" t="s">
        <v>211</v>
      </c>
      <c r="AI30" s="1084"/>
      <c r="AJ30" s="189" t="s">
        <v>212</v>
      </c>
      <c r="AK30" s="25" t="s">
        <v>151</v>
      </c>
      <c r="AL30" s="299">
        <v>56</v>
      </c>
      <c r="AM30" s="299">
        <v>171</v>
      </c>
      <c r="AN30" s="299">
        <v>97</v>
      </c>
      <c r="AO30" s="300"/>
      <c r="AP30" s="296">
        <v>57</v>
      </c>
      <c r="AQ30" s="296">
        <v>180</v>
      </c>
      <c r="AR30" s="296">
        <v>97</v>
      </c>
      <c r="AS30" s="1084" t="s">
        <v>211</v>
      </c>
      <c r="AT30" s="1084"/>
      <c r="AU30" s="189" t="s">
        <v>212</v>
      </c>
      <c r="AV30" s="25" t="s">
        <v>151</v>
      </c>
      <c r="AW30" s="299">
        <v>68</v>
      </c>
      <c r="AX30" s="299">
        <v>131</v>
      </c>
      <c r="AY30" s="299">
        <v>97</v>
      </c>
      <c r="AZ30" s="300"/>
      <c r="BA30" s="296">
        <v>78</v>
      </c>
      <c r="BB30" s="296">
        <v>131</v>
      </c>
      <c r="BC30" s="296">
        <v>97</v>
      </c>
      <c r="BD30" s="1084" t="s">
        <v>211</v>
      </c>
      <c r="BE30" s="1084"/>
      <c r="BF30" s="189" t="s">
        <v>212</v>
      </c>
      <c r="BG30" s="25" t="s">
        <v>151</v>
      </c>
      <c r="BH30" s="507">
        <v>66</v>
      </c>
      <c r="BI30" s="507">
        <v>846</v>
      </c>
      <c r="BJ30" s="507">
        <v>141</v>
      </c>
      <c r="BK30" s="508"/>
      <c r="BL30" s="504">
        <v>64</v>
      </c>
      <c r="BM30" s="504">
        <v>851</v>
      </c>
      <c r="BN30" s="504">
        <v>141</v>
      </c>
      <c r="BO30" s="1084" t="s">
        <v>211</v>
      </c>
      <c r="BP30" s="1084"/>
      <c r="BQ30" s="189" t="s">
        <v>212</v>
      </c>
      <c r="BR30" s="25" t="s">
        <v>151</v>
      </c>
      <c r="BS30" s="504">
        <v>63</v>
      </c>
      <c r="BT30" s="504">
        <v>220</v>
      </c>
      <c r="BU30" s="504">
        <v>100</v>
      </c>
      <c r="BV30" s="508"/>
      <c r="BW30" s="504">
        <v>63</v>
      </c>
      <c r="BX30" s="504">
        <v>143</v>
      </c>
      <c r="BY30" s="504">
        <v>100</v>
      </c>
      <c r="BZ30" s="1091"/>
      <c r="CA30" s="1091"/>
      <c r="CB30" s="330"/>
      <c r="CC30" s="30"/>
      <c r="CD30" s="331"/>
      <c r="CE30" s="331"/>
      <c r="CF30" s="331"/>
      <c r="CG30" s="331"/>
      <c r="CH30" s="331"/>
      <c r="CI30" s="331"/>
      <c r="CJ30" s="331"/>
    </row>
    <row r="31" spans="1:88" ht="21" customHeight="1">
      <c r="A31" s="1084" t="s">
        <v>213</v>
      </c>
      <c r="B31" s="1084"/>
      <c r="C31" s="189" t="s">
        <v>214</v>
      </c>
      <c r="D31" s="25" t="s">
        <v>151</v>
      </c>
      <c r="E31" s="296">
        <v>18</v>
      </c>
      <c r="F31" s="296">
        <v>25</v>
      </c>
      <c r="G31" s="296">
        <v>19</v>
      </c>
      <c r="H31" s="297"/>
      <c r="I31" s="296">
        <v>7</v>
      </c>
      <c r="J31" s="296">
        <v>92</v>
      </c>
      <c r="K31" s="296">
        <v>30</v>
      </c>
      <c r="L31" s="1084" t="s">
        <v>213</v>
      </c>
      <c r="M31" s="1084"/>
      <c r="N31" s="189" t="s">
        <v>214</v>
      </c>
      <c r="O31" s="25" t="s">
        <v>151</v>
      </c>
      <c r="P31" s="100">
        <v>20</v>
      </c>
      <c r="Q31" s="690">
        <v>42</v>
      </c>
      <c r="R31" s="100">
        <v>31</v>
      </c>
      <c r="S31" s="305"/>
      <c r="T31" s="100">
        <v>21</v>
      </c>
      <c r="U31" s="690">
        <v>63</v>
      </c>
      <c r="V31" s="693">
        <v>31</v>
      </c>
      <c r="W31" s="1084" t="s">
        <v>213</v>
      </c>
      <c r="X31" s="1084"/>
      <c r="Y31" s="189" t="s">
        <v>214</v>
      </c>
      <c r="Z31" s="25" t="s">
        <v>151</v>
      </c>
      <c r="AA31" s="504">
        <v>15</v>
      </c>
      <c r="AB31" s="504">
        <v>61</v>
      </c>
      <c r="AC31" s="504">
        <v>33</v>
      </c>
      <c r="AD31" s="506"/>
      <c r="AE31" s="504">
        <v>14</v>
      </c>
      <c r="AF31" s="504">
        <v>61</v>
      </c>
      <c r="AG31" s="504">
        <v>32</v>
      </c>
      <c r="AH31" s="1084" t="s">
        <v>213</v>
      </c>
      <c r="AI31" s="1084"/>
      <c r="AJ31" s="189" t="s">
        <v>214</v>
      </c>
      <c r="AK31" s="25" t="s">
        <v>151</v>
      </c>
      <c r="AL31" s="296">
        <v>22</v>
      </c>
      <c r="AM31" s="296">
        <v>70</v>
      </c>
      <c r="AN31" s="296">
        <v>37</v>
      </c>
      <c r="AO31" s="297"/>
      <c r="AP31" s="296">
        <v>21</v>
      </c>
      <c r="AQ31" s="296">
        <v>74</v>
      </c>
      <c r="AR31" s="296">
        <v>37</v>
      </c>
      <c r="AS31" s="1084" t="s">
        <v>213</v>
      </c>
      <c r="AT31" s="1084"/>
      <c r="AU31" s="189" t="s">
        <v>214</v>
      </c>
      <c r="AV31" s="25" t="s">
        <v>151</v>
      </c>
      <c r="AW31" s="296">
        <v>18</v>
      </c>
      <c r="AX31" s="296">
        <v>59</v>
      </c>
      <c r="AY31" s="296">
        <v>36</v>
      </c>
      <c r="AZ31" s="297"/>
      <c r="BA31" s="296">
        <v>18</v>
      </c>
      <c r="BB31" s="296">
        <v>59</v>
      </c>
      <c r="BC31" s="296">
        <v>36</v>
      </c>
      <c r="BD31" s="1084" t="s">
        <v>213</v>
      </c>
      <c r="BE31" s="1084"/>
      <c r="BF31" s="189" t="s">
        <v>214</v>
      </c>
      <c r="BG31" s="25" t="s">
        <v>151</v>
      </c>
      <c r="BH31" s="504">
        <v>18</v>
      </c>
      <c r="BI31" s="504">
        <v>426</v>
      </c>
      <c r="BJ31" s="504">
        <v>69</v>
      </c>
      <c r="BK31" s="506"/>
      <c r="BL31" s="504">
        <v>18</v>
      </c>
      <c r="BM31" s="504">
        <v>427</v>
      </c>
      <c r="BN31" s="504">
        <v>69</v>
      </c>
      <c r="BO31" s="1084" t="s">
        <v>213</v>
      </c>
      <c r="BP31" s="1084"/>
      <c r="BQ31" s="189" t="s">
        <v>214</v>
      </c>
      <c r="BR31" s="25" t="s">
        <v>151</v>
      </c>
      <c r="BS31" s="504">
        <v>13</v>
      </c>
      <c r="BT31" s="504">
        <v>121</v>
      </c>
      <c r="BU31" s="504">
        <v>65</v>
      </c>
      <c r="BV31" s="506"/>
      <c r="BW31" s="504">
        <v>13</v>
      </c>
      <c r="BX31" s="504">
        <v>117</v>
      </c>
      <c r="BY31" s="504">
        <v>65</v>
      </c>
      <c r="BZ31" s="1091"/>
      <c r="CA31" s="1091"/>
      <c r="CB31" s="330"/>
      <c r="CC31" s="30"/>
      <c r="CD31" s="331"/>
      <c r="CE31" s="331"/>
      <c r="CF31" s="331"/>
      <c r="CG31" s="331"/>
      <c r="CH31" s="331"/>
      <c r="CI31" s="331"/>
      <c r="CJ31" s="331"/>
    </row>
    <row r="32" spans="1:88" ht="21" customHeight="1">
      <c r="A32" s="1084" t="s">
        <v>215</v>
      </c>
      <c r="B32" s="1084"/>
      <c r="C32" s="190" t="s">
        <v>216</v>
      </c>
      <c r="D32" s="191" t="s">
        <v>164</v>
      </c>
      <c r="E32" s="296">
        <v>358</v>
      </c>
      <c r="F32" s="296">
        <v>379</v>
      </c>
      <c r="G32" s="296">
        <v>368</v>
      </c>
      <c r="H32" s="301"/>
      <c r="I32" s="296">
        <v>346</v>
      </c>
      <c r="J32" s="296">
        <v>1355</v>
      </c>
      <c r="K32" s="296">
        <v>603</v>
      </c>
      <c r="L32" s="1084" t="s">
        <v>215</v>
      </c>
      <c r="M32" s="1084"/>
      <c r="N32" s="190" t="s">
        <v>216</v>
      </c>
      <c r="O32" s="191" t="s">
        <v>164</v>
      </c>
      <c r="P32" s="100">
        <v>822</v>
      </c>
      <c r="Q32" s="876">
        <v>1260</v>
      </c>
      <c r="R32" s="876">
        <v>1034</v>
      </c>
      <c r="S32" s="878"/>
      <c r="T32" s="876">
        <v>832</v>
      </c>
      <c r="U32" s="876">
        <v>1246</v>
      </c>
      <c r="V32" s="876">
        <v>1034</v>
      </c>
      <c r="W32" s="1084" t="s">
        <v>215</v>
      </c>
      <c r="X32" s="1084"/>
      <c r="Y32" s="190" t="s">
        <v>216</v>
      </c>
      <c r="Z32" s="191" t="s">
        <v>164</v>
      </c>
      <c r="AA32" s="504">
        <v>877</v>
      </c>
      <c r="AB32" s="504">
        <v>1390</v>
      </c>
      <c r="AC32" s="504">
        <v>992</v>
      </c>
      <c r="AD32" s="509"/>
      <c r="AE32" s="510">
        <v>872</v>
      </c>
      <c r="AF32" s="510">
        <v>1394</v>
      </c>
      <c r="AG32" s="510">
        <v>1015</v>
      </c>
      <c r="AH32" s="1084" t="s">
        <v>215</v>
      </c>
      <c r="AI32" s="1084"/>
      <c r="AJ32" s="190" t="s">
        <v>216</v>
      </c>
      <c r="AK32" s="191" t="s">
        <v>164</v>
      </c>
      <c r="AL32" s="296">
        <v>782</v>
      </c>
      <c r="AM32" s="296">
        <v>1800</v>
      </c>
      <c r="AN32" s="296">
        <v>1131</v>
      </c>
      <c r="AO32" s="301"/>
      <c r="AP32" s="302">
        <v>781</v>
      </c>
      <c r="AQ32" s="302">
        <v>2000</v>
      </c>
      <c r="AR32" s="302">
        <v>1137</v>
      </c>
      <c r="AS32" s="1084" t="s">
        <v>215</v>
      </c>
      <c r="AT32" s="1084"/>
      <c r="AU32" s="190" t="s">
        <v>216</v>
      </c>
      <c r="AV32" s="191" t="s">
        <v>164</v>
      </c>
      <c r="AW32" s="296">
        <v>998</v>
      </c>
      <c r="AX32" s="296">
        <v>1862</v>
      </c>
      <c r="AY32" s="296">
        <v>1203</v>
      </c>
      <c r="AZ32" s="301"/>
      <c r="BA32" s="302">
        <v>1003</v>
      </c>
      <c r="BB32" s="302">
        <v>1852</v>
      </c>
      <c r="BC32" s="302">
        <v>1206</v>
      </c>
      <c r="BD32" s="1084" t="s">
        <v>215</v>
      </c>
      <c r="BE32" s="1084"/>
      <c r="BF32" s="190" t="s">
        <v>216</v>
      </c>
      <c r="BG32" s="191" t="s">
        <v>164</v>
      </c>
      <c r="BH32" s="504">
        <v>997</v>
      </c>
      <c r="BI32" s="504">
        <v>10198</v>
      </c>
      <c r="BJ32" s="504">
        <v>2087</v>
      </c>
      <c r="BK32" s="509"/>
      <c r="BL32" s="510">
        <v>1066</v>
      </c>
      <c r="BM32" s="510">
        <v>10378</v>
      </c>
      <c r="BN32" s="510">
        <v>2091</v>
      </c>
      <c r="BO32" s="1084" t="s">
        <v>215</v>
      </c>
      <c r="BP32" s="1084"/>
      <c r="BQ32" s="190" t="s">
        <v>216</v>
      </c>
      <c r="BR32" s="191" t="s">
        <v>164</v>
      </c>
      <c r="BS32" s="504">
        <v>840</v>
      </c>
      <c r="BT32" s="504">
        <v>3720</v>
      </c>
      <c r="BU32" s="504">
        <v>2057</v>
      </c>
      <c r="BV32" s="509"/>
      <c r="BW32" s="510">
        <v>870</v>
      </c>
      <c r="BX32" s="510">
        <v>3670</v>
      </c>
      <c r="BY32" s="510">
        <v>2958</v>
      </c>
      <c r="BZ32" s="1091"/>
      <c r="CA32" s="1091"/>
      <c r="CB32" s="330"/>
      <c r="CC32" s="30"/>
      <c r="CD32" s="331"/>
      <c r="CE32" s="331"/>
      <c r="CF32" s="331"/>
      <c r="CG32" s="331"/>
      <c r="CH32" s="331"/>
      <c r="CI32" s="331"/>
      <c r="CJ32" s="331"/>
    </row>
    <row r="33" spans="1:88" ht="21" customHeight="1">
      <c r="A33" s="1090" t="s">
        <v>217</v>
      </c>
      <c r="B33" s="1090"/>
      <c r="C33" s="189" t="s">
        <v>218</v>
      </c>
      <c r="D33" s="25" t="s">
        <v>151</v>
      </c>
      <c r="E33" s="297">
        <v>7.7</v>
      </c>
      <c r="F33" s="297">
        <v>8.6</v>
      </c>
      <c r="G33" s="298">
        <v>8.0399999999999991</v>
      </c>
      <c r="H33" s="301"/>
      <c r="I33" s="296">
        <v>7</v>
      </c>
      <c r="J33" s="296">
        <v>165</v>
      </c>
      <c r="K33" s="296">
        <v>25</v>
      </c>
      <c r="L33" s="1090" t="s">
        <v>217</v>
      </c>
      <c r="M33" s="1090"/>
      <c r="N33" s="189" t="s">
        <v>218</v>
      </c>
      <c r="O33" s="25" t="s">
        <v>151</v>
      </c>
      <c r="P33" s="100">
        <v>51</v>
      </c>
      <c r="Q33" s="690">
        <v>86</v>
      </c>
      <c r="R33" s="100">
        <v>67</v>
      </c>
      <c r="S33" s="305"/>
      <c r="T33" s="100">
        <v>51</v>
      </c>
      <c r="U33" s="690">
        <v>86</v>
      </c>
      <c r="V33" s="693">
        <v>76</v>
      </c>
      <c r="W33" s="1090" t="s">
        <v>217</v>
      </c>
      <c r="X33" s="1090"/>
      <c r="Y33" s="189" t="s">
        <v>218</v>
      </c>
      <c r="Z33" s="25" t="s">
        <v>151</v>
      </c>
      <c r="AA33" s="504">
        <v>55</v>
      </c>
      <c r="AB33" s="504">
        <v>122</v>
      </c>
      <c r="AC33" s="504">
        <v>81</v>
      </c>
      <c r="AD33" s="509"/>
      <c r="AE33" s="510">
        <v>55</v>
      </c>
      <c r="AF33" s="510">
        <v>122</v>
      </c>
      <c r="AG33" s="510">
        <v>82</v>
      </c>
      <c r="AH33" s="1090" t="s">
        <v>217</v>
      </c>
      <c r="AI33" s="1090"/>
      <c r="AJ33" s="189" t="s">
        <v>218</v>
      </c>
      <c r="AK33" s="25" t="s">
        <v>151</v>
      </c>
      <c r="AL33" s="100">
        <v>61</v>
      </c>
      <c r="AM33" s="100">
        <v>180</v>
      </c>
      <c r="AN33" s="100">
        <v>94</v>
      </c>
      <c r="AO33" s="301"/>
      <c r="AP33" s="100">
        <v>61</v>
      </c>
      <c r="AQ33" s="100">
        <v>190</v>
      </c>
      <c r="AR33" s="100">
        <v>94</v>
      </c>
      <c r="AS33" s="1090" t="s">
        <v>217</v>
      </c>
      <c r="AT33" s="1090"/>
      <c r="AU33" s="189" t="s">
        <v>218</v>
      </c>
      <c r="AV33" s="25" t="s">
        <v>151</v>
      </c>
      <c r="AW33" s="296">
        <v>70</v>
      </c>
      <c r="AX33" s="296">
        <v>141</v>
      </c>
      <c r="AY33" s="296">
        <v>89</v>
      </c>
      <c r="AZ33" s="301"/>
      <c r="BA33" s="302">
        <v>70</v>
      </c>
      <c r="BB33" s="302">
        <v>143</v>
      </c>
      <c r="BC33" s="302">
        <v>89</v>
      </c>
      <c r="BD33" s="1090" t="s">
        <v>217</v>
      </c>
      <c r="BE33" s="1090"/>
      <c r="BF33" s="189" t="s">
        <v>218</v>
      </c>
      <c r="BG33" s="25" t="s">
        <v>151</v>
      </c>
      <c r="BH33" s="504">
        <v>89</v>
      </c>
      <c r="BI33" s="504">
        <v>1631</v>
      </c>
      <c r="BJ33" s="504">
        <v>241</v>
      </c>
      <c r="BK33" s="509"/>
      <c r="BL33" s="510">
        <v>86</v>
      </c>
      <c r="BM33" s="510">
        <v>1639</v>
      </c>
      <c r="BN33" s="510">
        <v>241</v>
      </c>
      <c r="BO33" s="1090" t="s">
        <v>217</v>
      </c>
      <c r="BP33" s="1090"/>
      <c r="BQ33" s="189" t="s">
        <v>218</v>
      </c>
      <c r="BR33" s="25" t="s">
        <v>151</v>
      </c>
      <c r="BS33" s="305" t="s">
        <v>421</v>
      </c>
      <c r="BT33" s="305" t="s">
        <v>421</v>
      </c>
      <c r="BU33" s="305" t="s">
        <v>421</v>
      </c>
      <c r="BV33" s="305"/>
      <c r="BW33" s="305" t="s">
        <v>421</v>
      </c>
      <c r="BX33" s="305" t="s">
        <v>421</v>
      </c>
      <c r="BY33" s="305" t="s">
        <v>421</v>
      </c>
      <c r="BZ33" s="1082"/>
      <c r="CA33" s="1082"/>
      <c r="CB33" s="330"/>
      <c r="CC33" s="30"/>
      <c r="CD33" s="331"/>
      <c r="CE33" s="331"/>
      <c r="CF33" s="331"/>
      <c r="CG33" s="331"/>
      <c r="CH33" s="331"/>
      <c r="CI33" s="331"/>
      <c r="CJ33" s="331"/>
    </row>
    <row r="34" spans="1:88" ht="21" customHeight="1">
      <c r="A34" s="1090" t="s">
        <v>219</v>
      </c>
      <c r="B34" s="1090"/>
      <c r="C34" s="189" t="s">
        <v>220</v>
      </c>
      <c r="D34" s="25" t="s">
        <v>151</v>
      </c>
      <c r="E34" s="297">
        <v>1.3</v>
      </c>
      <c r="F34" s="297">
        <v>1.5</v>
      </c>
      <c r="G34" s="298">
        <v>1.45</v>
      </c>
      <c r="H34" s="301"/>
      <c r="I34" s="301">
        <v>0.7</v>
      </c>
      <c r="J34" s="302">
        <v>7</v>
      </c>
      <c r="K34" s="301">
        <v>1.6</v>
      </c>
      <c r="L34" s="1090" t="s">
        <v>219</v>
      </c>
      <c r="M34" s="1090"/>
      <c r="N34" s="189" t="s">
        <v>220</v>
      </c>
      <c r="O34" s="25" t="s">
        <v>151</v>
      </c>
      <c r="P34" s="100">
        <v>2.6</v>
      </c>
      <c r="Q34" s="690">
        <v>6.1</v>
      </c>
      <c r="R34" s="100">
        <v>3.7</v>
      </c>
      <c r="S34" s="305"/>
      <c r="T34" s="100">
        <v>2.6</v>
      </c>
      <c r="U34" s="690">
        <v>6.5</v>
      </c>
      <c r="V34" s="693">
        <v>3.7</v>
      </c>
      <c r="W34" s="1090" t="s">
        <v>219</v>
      </c>
      <c r="X34" s="1090"/>
      <c r="Y34" s="189" t="s">
        <v>220</v>
      </c>
      <c r="Z34" s="25" t="s">
        <v>151</v>
      </c>
      <c r="AA34" s="506">
        <v>2.2999999999999998</v>
      </c>
      <c r="AB34" s="506">
        <v>6.2</v>
      </c>
      <c r="AC34" s="506">
        <v>2.9</v>
      </c>
      <c r="AD34" s="509"/>
      <c r="AE34" s="509">
        <v>2.2999999999999998</v>
      </c>
      <c r="AF34" s="509">
        <v>3.7</v>
      </c>
      <c r="AG34" s="509">
        <v>2.9</v>
      </c>
      <c r="AH34" s="1090" t="s">
        <v>219</v>
      </c>
      <c r="AI34" s="1090"/>
      <c r="AJ34" s="189" t="s">
        <v>220</v>
      </c>
      <c r="AK34" s="25" t="s">
        <v>151</v>
      </c>
      <c r="AL34" s="100">
        <v>1.2</v>
      </c>
      <c r="AM34" s="100">
        <v>5.5</v>
      </c>
      <c r="AN34" s="100">
        <v>3.2</v>
      </c>
      <c r="AO34" s="301"/>
      <c r="AP34" s="100">
        <v>0.7</v>
      </c>
      <c r="AQ34" s="100">
        <v>5</v>
      </c>
      <c r="AR34" s="100">
        <v>3.2</v>
      </c>
      <c r="AS34" s="1090" t="s">
        <v>219</v>
      </c>
      <c r="AT34" s="1090"/>
      <c r="AU34" s="189" t="s">
        <v>220</v>
      </c>
      <c r="AV34" s="25" t="s">
        <v>151</v>
      </c>
      <c r="AW34" s="296">
        <v>2</v>
      </c>
      <c r="AX34" s="297">
        <v>10.8</v>
      </c>
      <c r="AY34" s="297">
        <v>5.0999999999999996</v>
      </c>
      <c r="AZ34" s="301"/>
      <c r="BA34" s="302">
        <v>3</v>
      </c>
      <c r="BB34" s="301">
        <v>10.5</v>
      </c>
      <c r="BC34" s="301">
        <v>5.0999999999999996</v>
      </c>
      <c r="BD34" s="1090" t="s">
        <v>219</v>
      </c>
      <c r="BE34" s="1090"/>
      <c r="BF34" s="189" t="s">
        <v>220</v>
      </c>
      <c r="BG34" s="25" t="s">
        <v>151</v>
      </c>
      <c r="BH34" s="506">
        <v>1.2</v>
      </c>
      <c r="BI34" s="506">
        <v>16.899999999999999</v>
      </c>
      <c r="BJ34" s="506">
        <v>6.5</v>
      </c>
      <c r="BK34" s="511"/>
      <c r="BL34" s="510">
        <v>3</v>
      </c>
      <c r="BM34" s="509">
        <v>17.3</v>
      </c>
      <c r="BN34" s="509">
        <v>6.5</v>
      </c>
      <c r="BO34" s="1090" t="s">
        <v>219</v>
      </c>
      <c r="BP34" s="1090"/>
      <c r="BQ34" s="189" t="s">
        <v>220</v>
      </c>
      <c r="BR34" s="25" t="s">
        <v>151</v>
      </c>
      <c r="BS34" s="305" t="s">
        <v>421</v>
      </c>
      <c r="BT34" s="305" t="s">
        <v>421</v>
      </c>
      <c r="BU34" s="305" t="s">
        <v>421</v>
      </c>
      <c r="BV34" s="305"/>
      <c r="BW34" s="305" t="s">
        <v>421</v>
      </c>
      <c r="BX34" s="305" t="s">
        <v>421</v>
      </c>
      <c r="BY34" s="305" t="s">
        <v>421</v>
      </c>
      <c r="BZ34" s="1082"/>
      <c r="CA34" s="1082"/>
      <c r="CB34" s="330"/>
      <c r="CC34" s="30"/>
      <c r="CD34" s="331"/>
      <c r="CE34" s="331"/>
      <c r="CF34" s="331"/>
      <c r="CG34" s="331"/>
      <c r="CH34" s="331"/>
      <c r="CI34" s="331"/>
      <c r="CJ34" s="331"/>
    </row>
    <row r="35" spans="1:88" ht="21" customHeight="1" thickBot="1">
      <c r="A35" s="1089" t="s">
        <v>221</v>
      </c>
      <c r="B35" s="1089"/>
      <c r="C35" s="192" t="s">
        <v>222</v>
      </c>
      <c r="D35" s="193" t="s">
        <v>151</v>
      </c>
      <c r="E35" s="303">
        <v>23</v>
      </c>
      <c r="F35" s="303">
        <v>28</v>
      </c>
      <c r="G35" s="303">
        <v>26</v>
      </c>
      <c r="H35" s="304"/>
      <c r="I35" s="303">
        <v>14</v>
      </c>
      <c r="J35" s="303">
        <v>515</v>
      </c>
      <c r="K35" s="303">
        <v>98</v>
      </c>
      <c r="L35" s="1089" t="s">
        <v>221</v>
      </c>
      <c r="M35" s="1089"/>
      <c r="N35" s="192" t="s">
        <v>222</v>
      </c>
      <c r="O35" s="193" t="s">
        <v>151</v>
      </c>
      <c r="P35" s="100">
        <v>161</v>
      </c>
      <c r="Q35" s="690">
        <v>308</v>
      </c>
      <c r="R35" s="100">
        <v>242</v>
      </c>
      <c r="S35" s="306"/>
      <c r="T35" s="101">
        <v>149</v>
      </c>
      <c r="U35" s="877">
        <v>310</v>
      </c>
      <c r="V35" s="694">
        <v>241</v>
      </c>
      <c r="W35" s="1089" t="s">
        <v>221</v>
      </c>
      <c r="X35" s="1089"/>
      <c r="Y35" s="192" t="s">
        <v>222</v>
      </c>
      <c r="Z35" s="193" t="s">
        <v>151</v>
      </c>
      <c r="AA35" s="512">
        <v>179</v>
      </c>
      <c r="AB35" s="512">
        <v>330</v>
      </c>
      <c r="AC35" s="512">
        <v>250</v>
      </c>
      <c r="AD35" s="513"/>
      <c r="AE35" s="512">
        <v>177</v>
      </c>
      <c r="AF35" s="512">
        <v>331</v>
      </c>
      <c r="AG35" s="512">
        <v>249</v>
      </c>
      <c r="AH35" s="1089" t="s">
        <v>221</v>
      </c>
      <c r="AI35" s="1089"/>
      <c r="AJ35" s="192" t="s">
        <v>222</v>
      </c>
      <c r="AK35" s="193" t="s">
        <v>151</v>
      </c>
      <c r="AL35" s="303">
        <v>154</v>
      </c>
      <c r="AM35" s="303">
        <v>453</v>
      </c>
      <c r="AN35" s="303">
        <v>268</v>
      </c>
      <c r="AO35" s="304"/>
      <c r="AP35" s="303">
        <v>156</v>
      </c>
      <c r="AQ35" s="303">
        <v>499</v>
      </c>
      <c r="AR35" s="303">
        <v>269</v>
      </c>
      <c r="AS35" s="1089" t="s">
        <v>221</v>
      </c>
      <c r="AT35" s="1089"/>
      <c r="AU35" s="192" t="s">
        <v>222</v>
      </c>
      <c r="AV35" s="193" t="s">
        <v>151</v>
      </c>
      <c r="AW35" s="303">
        <v>202</v>
      </c>
      <c r="AX35" s="303">
        <v>420</v>
      </c>
      <c r="AY35" s="303">
        <v>285</v>
      </c>
      <c r="AZ35" s="304"/>
      <c r="BA35" s="303">
        <v>207</v>
      </c>
      <c r="BB35" s="303">
        <v>419</v>
      </c>
      <c r="BC35" s="303">
        <v>287</v>
      </c>
      <c r="BD35" s="1089" t="s">
        <v>221</v>
      </c>
      <c r="BE35" s="1089"/>
      <c r="BF35" s="192" t="s">
        <v>222</v>
      </c>
      <c r="BG35" s="193" t="s">
        <v>151</v>
      </c>
      <c r="BH35" s="512">
        <v>224</v>
      </c>
      <c r="BI35" s="512">
        <v>3678</v>
      </c>
      <c r="BJ35" s="512">
        <v>513</v>
      </c>
      <c r="BK35" s="513"/>
      <c r="BL35" s="512">
        <v>219</v>
      </c>
      <c r="BM35" s="512">
        <v>2684</v>
      </c>
      <c r="BN35" s="512">
        <v>513</v>
      </c>
      <c r="BO35" s="1089" t="s">
        <v>221</v>
      </c>
      <c r="BP35" s="1089"/>
      <c r="BQ35" s="192" t="s">
        <v>222</v>
      </c>
      <c r="BR35" s="193" t="s">
        <v>151</v>
      </c>
      <c r="BS35" s="512">
        <v>130</v>
      </c>
      <c r="BT35" s="512">
        <v>653</v>
      </c>
      <c r="BU35" s="512">
        <v>338</v>
      </c>
      <c r="BV35" s="513"/>
      <c r="BW35" s="512">
        <v>128</v>
      </c>
      <c r="BX35" s="512">
        <v>646</v>
      </c>
      <c r="BY35" s="512">
        <v>386</v>
      </c>
      <c r="BZ35" s="1082"/>
      <c r="CA35" s="1082"/>
      <c r="CB35" s="330"/>
      <c r="CC35" s="30"/>
      <c r="CD35" s="331"/>
      <c r="CE35" s="331"/>
      <c r="CF35" s="331"/>
      <c r="CG35" s="331"/>
      <c r="CH35" s="331"/>
      <c r="CI35" s="331"/>
      <c r="CJ35" s="331"/>
    </row>
    <row r="36" spans="1:88" s="221" customFormat="1" ht="25.5" customHeight="1" thickTop="1">
      <c r="A36" s="956" t="s">
        <v>433</v>
      </c>
      <c r="B36" s="956"/>
      <c r="C36" s="956"/>
      <c r="D36" s="956"/>
      <c r="E36" s="956"/>
      <c r="F36" s="956"/>
      <c r="G36" s="956"/>
      <c r="H36" s="956"/>
      <c r="I36" s="956"/>
      <c r="J36" s="146"/>
      <c r="K36" s="220" t="s">
        <v>121</v>
      </c>
      <c r="L36" s="1086" t="s">
        <v>433</v>
      </c>
      <c r="M36" s="1086"/>
      <c r="N36" s="1086"/>
      <c r="O36" s="1086"/>
      <c r="P36" s="1086"/>
      <c r="Q36" s="1086"/>
      <c r="R36" s="1086"/>
      <c r="S36" s="1086"/>
      <c r="T36" s="146"/>
      <c r="U36" s="695"/>
      <c r="V36" s="220" t="s">
        <v>121</v>
      </c>
      <c r="W36" s="956" t="s">
        <v>433</v>
      </c>
      <c r="X36" s="956"/>
      <c r="Y36" s="956"/>
      <c r="Z36" s="956"/>
      <c r="AA36" s="956"/>
      <c r="AB36" s="956"/>
      <c r="AC36" s="956"/>
      <c r="AD36" s="956"/>
      <c r="AE36" s="956"/>
      <c r="AF36" s="146"/>
      <c r="AG36" s="220" t="s">
        <v>121</v>
      </c>
      <c r="AH36" s="1087" t="s">
        <v>433</v>
      </c>
      <c r="AI36" s="1087"/>
      <c r="AJ36" s="1087"/>
      <c r="AK36" s="1087"/>
      <c r="AL36" s="1087"/>
      <c r="AM36" s="1087"/>
      <c r="AN36" s="1087"/>
      <c r="AO36" s="1087"/>
      <c r="AP36" s="1087"/>
      <c r="AQ36" s="146"/>
      <c r="AR36" s="220" t="s">
        <v>121</v>
      </c>
      <c r="AS36" s="956" t="s">
        <v>433</v>
      </c>
      <c r="AT36" s="956"/>
      <c r="AU36" s="956"/>
      <c r="AV36" s="956"/>
      <c r="AW36" s="956"/>
      <c r="AX36" s="956"/>
      <c r="AY36" s="956"/>
      <c r="AZ36" s="956"/>
      <c r="BA36" s="956"/>
      <c r="BB36" s="618"/>
      <c r="BC36" s="220" t="s">
        <v>121</v>
      </c>
      <c r="BD36" s="956" t="s">
        <v>433</v>
      </c>
      <c r="BE36" s="956"/>
      <c r="BF36" s="956"/>
      <c r="BG36" s="956"/>
      <c r="BH36" s="956"/>
      <c r="BI36" s="956"/>
      <c r="BJ36" s="956"/>
      <c r="BK36" s="956"/>
      <c r="BL36" s="956"/>
      <c r="BM36" s="146"/>
      <c r="BN36" s="220" t="s">
        <v>121</v>
      </c>
      <c r="BO36" s="1086" t="s">
        <v>422</v>
      </c>
      <c r="BP36" s="1086"/>
      <c r="BQ36" s="1086"/>
      <c r="BR36" s="1086"/>
      <c r="BS36" s="146"/>
      <c r="BT36" s="146"/>
      <c r="BU36" s="146"/>
      <c r="BV36" s="146"/>
      <c r="BW36" s="146"/>
      <c r="BX36" s="146"/>
      <c r="BY36" s="220" t="s">
        <v>121</v>
      </c>
      <c r="BZ36" s="668"/>
      <c r="CA36" s="668"/>
      <c r="CB36" s="178"/>
      <c r="CC36" s="179"/>
      <c r="CD36" s="146"/>
      <c r="CE36" s="146"/>
      <c r="CF36" s="146"/>
      <c r="CG36" s="146"/>
      <c r="CH36" s="146"/>
      <c r="CI36" s="146"/>
      <c r="CJ36" s="332"/>
    </row>
    <row r="37" spans="1:88" ht="20.25" customHeight="1">
      <c r="A37" s="956"/>
      <c r="B37" s="956"/>
      <c r="C37" s="956"/>
      <c r="D37" s="956"/>
      <c r="E37" s="956"/>
      <c r="F37" s="956"/>
      <c r="G37" s="956"/>
      <c r="H37" s="956"/>
      <c r="I37" s="956"/>
      <c r="J37" s="656"/>
      <c r="L37" s="956"/>
      <c r="M37" s="956"/>
      <c r="N37" s="956"/>
      <c r="O37" s="956"/>
      <c r="P37" s="956"/>
      <c r="Q37" s="956"/>
      <c r="R37" s="956"/>
      <c r="S37" s="956"/>
      <c r="T37" s="956"/>
      <c r="U37" s="696"/>
      <c r="V37" s="656"/>
      <c r="AF37" s="656"/>
      <c r="AH37" s="956"/>
      <c r="AI37" s="956"/>
      <c r="AJ37" s="956"/>
      <c r="AK37" s="956"/>
      <c r="AL37" s="956"/>
      <c r="AM37" s="956"/>
      <c r="AN37" s="956"/>
      <c r="AO37" s="956"/>
      <c r="AP37" s="956"/>
      <c r="AQ37" s="656"/>
      <c r="BB37" s="656"/>
      <c r="BM37" s="656"/>
      <c r="BO37" s="956"/>
      <c r="BP37" s="956"/>
      <c r="BQ37" s="956"/>
      <c r="BR37" s="956"/>
      <c r="BS37" s="956"/>
      <c r="BT37" s="956"/>
      <c r="BU37" s="956"/>
      <c r="BV37" s="956"/>
      <c r="BW37" s="956"/>
      <c r="BX37" s="656"/>
      <c r="CI37" s="656"/>
    </row>
    <row r="38" spans="1:88" ht="18" customHeight="1">
      <c r="A38" s="661" t="s">
        <v>287</v>
      </c>
      <c r="B38" s="661"/>
      <c r="C38" s="661"/>
      <c r="D38" s="661"/>
      <c r="E38" s="195"/>
      <c r="F38" s="195"/>
      <c r="G38" s="222"/>
      <c r="H38" s="222"/>
      <c r="I38" s="222"/>
      <c r="J38" s="222"/>
      <c r="K38" s="222">
        <v>50</v>
      </c>
      <c r="L38" s="981" t="s">
        <v>287</v>
      </c>
      <c r="M38" s="981"/>
      <c r="N38" s="981"/>
      <c r="O38" s="981"/>
      <c r="P38" s="981"/>
      <c r="Q38" s="981"/>
      <c r="R38" s="222"/>
      <c r="S38" s="222"/>
      <c r="T38" s="222"/>
      <c r="U38" s="698"/>
      <c r="V38" s="222">
        <v>51</v>
      </c>
      <c r="W38" s="981" t="s">
        <v>287</v>
      </c>
      <c r="X38" s="981"/>
      <c r="Y38" s="981"/>
      <c r="Z38" s="981"/>
      <c r="AA38" s="981"/>
      <c r="AB38" s="981"/>
      <c r="AC38" s="222"/>
      <c r="AD38" s="222"/>
      <c r="AE38" s="222"/>
      <c r="AF38" s="222"/>
      <c r="AG38" s="222">
        <v>52</v>
      </c>
      <c r="AH38" s="981" t="s">
        <v>287</v>
      </c>
      <c r="AI38" s="981"/>
      <c r="AJ38" s="981"/>
      <c r="AK38" s="981"/>
      <c r="AL38" s="981"/>
      <c r="AM38" s="981"/>
      <c r="AN38" s="222"/>
      <c r="AO38" s="222"/>
      <c r="AP38" s="222"/>
      <c r="AQ38" s="222"/>
      <c r="AR38" s="222">
        <v>53</v>
      </c>
      <c r="AS38" s="981" t="s">
        <v>287</v>
      </c>
      <c r="AT38" s="981"/>
      <c r="AU38" s="981"/>
      <c r="AV38" s="981"/>
      <c r="AW38" s="981"/>
      <c r="AX38" s="981"/>
      <c r="AY38" s="222"/>
      <c r="AZ38" s="222"/>
      <c r="BA38" s="222"/>
      <c r="BB38" s="222"/>
      <c r="BC38" s="222">
        <v>54</v>
      </c>
      <c r="BD38" s="981" t="s">
        <v>287</v>
      </c>
      <c r="BE38" s="981"/>
      <c r="BF38" s="981"/>
      <c r="BG38" s="981"/>
      <c r="BH38" s="981"/>
      <c r="BI38" s="981"/>
      <c r="BJ38" s="222"/>
      <c r="BK38" s="222"/>
      <c r="BL38" s="222"/>
      <c r="BM38" s="222"/>
      <c r="BN38" s="222">
        <v>55</v>
      </c>
      <c r="BO38" s="981" t="s">
        <v>287</v>
      </c>
      <c r="BP38" s="981"/>
      <c r="BQ38" s="981"/>
      <c r="BR38" s="981"/>
      <c r="BS38" s="981"/>
      <c r="BT38" s="981"/>
      <c r="BU38" s="222"/>
      <c r="BV38" s="222"/>
      <c r="BW38" s="222"/>
      <c r="BX38" s="222"/>
      <c r="BY38" s="222">
        <v>56</v>
      </c>
      <c r="BZ38" s="981" t="s">
        <v>287</v>
      </c>
      <c r="CA38" s="981"/>
      <c r="CB38" s="981"/>
      <c r="CC38" s="981"/>
      <c r="CD38" s="981"/>
      <c r="CE38" s="981"/>
      <c r="CF38" s="222"/>
      <c r="CG38" s="222"/>
      <c r="CH38" s="222"/>
      <c r="CI38" s="222"/>
      <c r="CJ38" s="222">
        <v>57</v>
      </c>
    </row>
  </sheetData>
  <mergeCells count="326">
    <mergeCell ref="A2:K2"/>
    <mergeCell ref="A20:K20"/>
    <mergeCell ref="L2:V2"/>
    <mergeCell ref="L20:V20"/>
    <mergeCell ref="W2:AG2"/>
    <mergeCell ref="W20:AG20"/>
    <mergeCell ref="AH2:AR2"/>
    <mergeCell ref="AH20:AR20"/>
    <mergeCell ref="AS2:BC2"/>
    <mergeCell ref="AS20:BC20"/>
    <mergeCell ref="A17:B17"/>
    <mergeCell ref="A16:B16"/>
    <mergeCell ref="A6:B6"/>
    <mergeCell ref="A7:B7"/>
    <mergeCell ref="A8:B8"/>
    <mergeCell ref="A9:B9"/>
    <mergeCell ref="A10:B10"/>
    <mergeCell ref="A11:B11"/>
    <mergeCell ref="W6:X6"/>
    <mergeCell ref="W7:X7"/>
    <mergeCell ref="W8:X8"/>
    <mergeCell ref="W9:X9"/>
    <mergeCell ref="W10:X10"/>
    <mergeCell ref="L6:M6"/>
    <mergeCell ref="L7:M7"/>
    <mergeCell ref="L8:M8"/>
    <mergeCell ref="L9:M9"/>
    <mergeCell ref="L10:M10"/>
    <mergeCell ref="A34:B34"/>
    <mergeCell ref="A35:B35"/>
    <mergeCell ref="A24:B24"/>
    <mergeCell ref="A25:B25"/>
    <mergeCell ref="A26:B26"/>
    <mergeCell ref="A27:B27"/>
    <mergeCell ref="A28:B28"/>
    <mergeCell ref="A29:B29"/>
    <mergeCell ref="A19:K19"/>
    <mergeCell ref="A21:K21"/>
    <mergeCell ref="A18:F18"/>
    <mergeCell ref="L1:V1"/>
    <mergeCell ref="L3:V3"/>
    <mergeCell ref="L4:N5"/>
    <mergeCell ref="O4:O5"/>
    <mergeCell ref="P4:R4"/>
    <mergeCell ref="A30:B30"/>
    <mergeCell ref="A31:B31"/>
    <mergeCell ref="A32:B32"/>
    <mergeCell ref="A33:B33"/>
    <mergeCell ref="T4:V4"/>
    <mergeCell ref="A1:K1"/>
    <mergeCell ref="A3:K3"/>
    <mergeCell ref="A4:C5"/>
    <mergeCell ref="D4:D5"/>
    <mergeCell ref="E4:G4"/>
    <mergeCell ref="I4:K4"/>
    <mergeCell ref="A22:C23"/>
    <mergeCell ref="D22:D23"/>
    <mergeCell ref="E22:G22"/>
    <mergeCell ref="I22:K22"/>
    <mergeCell ref="A12:B12"/>
    <mergeCell ref="A13:B13"/>
    <mergeCell ref="A14:B14"/>
    <mergeCell ref="A15:B15"/>
    <mergeCell ref="W1:AG1"/>
    <mergeCell ref="W3:AG3"/>
    <mergeCell ref="W4:Y5"/>
    <mergeCell ref="Z4:Z5"/>
    <mergeCell ref="AA4:AC4"/>
    <mergeCell ref="L30:M30"/>
    <mergeCell ref="L31:M31"/>
    <mergeCell ref="L24:M24"/>
    <mergeCell ref="L25:M25"/>
    <mergeCell ref="L26:M26"/>
    <mergeCell ref="L27:M27"/>
    <mergeCell ref="L28:M28"/>
    <mergeCell ref="L29:M29"/>
    <mergeCell ref="L17:M17"/>
    <mergeCell ref="L19:V19"/>
    <mergeCell ref="L21:V21"/>
    <mergeCell ref="L22:N23"/>
    <mergeCell ref="O22:O23"/>
    <mergeCell ref="P22:R22"/>
    <mergeCell ref="T22:V22"/>
    <mergeCell ref="L11:M11"/>
    <mergeCell ref="AE4:AG4"/>
    <mergeCell ref="Z22:Z23"/>
    <mergeCell ref="AA22:AC22"/>
    <mergeCell ref="W27:X27"/>
    <mergeCell ref="W28:X28"/>
    <mergeCell ref="W29:X29"/>
    <mergeCell ref="L32:M32"/>
    <mergeCell ref="L33:M33"/>
    <mergeCell ref="L34:M34"/>
    <mergeCell ref="L35:M35"/>
    <mergeCell ref="L12:M12"/>
    <mergeCell ref="L13:M13"/>
    <mergeCell ref="L14:M14"/>
    <mergeCell ref="L15:M15"/>
    <mergeCell ref="L16:M16"/>
    <mergeCell ref="W35:X35"/>
    <mergeCell ref="W19:AG19"/>
    <mergeCell ref="W32:X32"/>
    <mergeCell ref="W33:X33"/>
    <mergeCell ref="W24:X24"/>
    <mergeCell ref="W25:X25"/>
    <mergeCell ref="W26:X26"/>
    <mergeCell ref="W34:X34"/>
    <mergeCell ref="W30:X30"/>
    <mergeCell ref="W31:X31"/>
    <mergeCell ref="W18:Z18"/>
    <mergeCell ref="AH1:AR1"/>
    <mergeCell ref="AH3:AR3"/>
    <mergeCell ref="AP4:AR4"/>
    <mergeCell ref="W21:AG21"/>
    <mergeCell ref="W22:Y23"/>
    <mergeCell ref="AH6:AI6"/>
    <mergeCell ref="AH7:AI7"/>
    <mergeCell ref="AH8:AI8"/>
    <mergeCell ref="AH9:AI9"/>
    <mergeCell ref="AH10:AI10"/>
    <mergeCell ref="AE22:AG22"/>
    <mergeCell ref="W11:X11"/>
    <mergeCell ref="W12:X12"/>
    <mergeCell ref="W13:X13"/>
    <mergeCell ref="W14:X14"/>
    <mergeCell ref="W15:X15"/>
    <mergeCell ref="W16:X16"/>
    <mergeCell ref="AH4:AJ5"/>
    <mergeCell ref="AK4:AK5"/>
    <mergeCell ref="AL4:AN4"/>
    <mergeCell ref="W17:X17"/>
    <mergeCell ref="AH13:AI13"/>
    <mergeCell ref="AH14:AI14"/>
    <mergeCell ref="AH15:AI15"/>
    <mergeCell ref="AH11:AI11"/>
    <mergeCell ref="BA4:BC4"/>
    <mergeCell ref="AS11:AT11"/>
    <mergeCell ref="AS12:AT12"/>
    <mergeCell ref="AS13:AT13"/>
    <mergeCell ref="AS14:AT14"/>
    <mergeCell ref="AS15:AT15"/>
    <mergeCell ref="AS16:AT16"/>
    <mergeCell ref="AS6:AT6"/>
    <mergeCell ref="AH12:AI12"/>
    <mergeCell ref="AH16:AI16"/>
    <mergeCell ref="AS27:AT27"/>
    <mergeCell ref="BD12:BE12"/>
    <mergeCell ref="BD14:BE14"/>
    <mergeCell ref="BD15:BE15"/>
    <mergeCell ref="BD6:BE6"/>
    <mergeCell ref="AS17:AT17"/>
    <mergeCell ref="AS19:BC19"/>
    <mergeCell ref="AS21:BC21"/>
    <mergeCell ref="AS22:AU23"/>
    <mergeCell ref="AV22:AV23"/>
    <mergeCell ref="AW22:AY22"/>
    <mergeCell ref="BA22:BC22"/>
    <mergeCell ref="BD26:BE26"/>
    <mergeCell ref="BD27:BE27"/>
    <mergeCell ref="BD7:BE7"/>
    <mergeCell ref="BD8:BE8"/>
    <mergeCell ref="BD9:BE9"/>
    <mergeCell ref="BD16:BE16"/>
    <mergeCell ref="BD20:BN20"/>
    <mergeCell ref="AS1:BC1"/>
    <mergeCell ref="AS3:BC3"/>
    <mergeCell ref="AS4:AU5"/>
    <mergeCell ref="AV4:AV5"/>
    <mergeCell ref="AW4:AY4"/>
    <mergeCell ref="AS7:AT7"/>
    <mergeCell ref="AS8:AT8"/>
    <mergeCell ref="AS9:AT9"/>
    <mergeCell ref="AS10:AT10"/>
    <mergeCell ref="AH17:AI17"/>
    <mergeCell ref="AH19:AR19"/>
    <mergeCell ref="AH21:AR21"/>
    <mergeCell ref="AH22:AJ23"/>
    <mergeCell ref="AK22:AK23"/>
    <mergeCell ref="AL22:AN22"/>
    <mergeCell ref="AP22:AR22"/>
    <mergeCell ref="BD24:BE24"/>
    <mergeCell ref="BD25:BE25"/>
    <mergeCell ref="AS24:AT24"/>
    <mergeCell ref="AS25:AT25"/>
    <mergeCell ref="AH24:AI24"/>
    <mergeCell ref="AH25:AI25"/>
    <mergeCell ref="BD17:BE17"/>
    <mergeCell ref="BD19:BN19"/>
    <mergeCell ref="BD21:BN21"/>
    <mergeCell ref="BG22:BG23"/>
    <mergeCell ref="BH22:BJ22"/>
    <mergeCell ref="AS18:AX18"/>
    <mergeCell ref="BO17:BP17"/>
    <mergeCell ref="BO19:BY19"/>
    <mergeCell ref="BD13:BE13"/>
    <mergeCell ref="BD22:BF23"/>
    <mergeCell ref="BO22:BQ23"/>
    <mergeCell ref="BL22:BN22"/>
    <mergeCell ref="BR22:BR23"/>
    <mergeCell ref="BS22:BU22"/>
    <mergeCell ref="BW22:BY22"/>
    <mergeCell ref="BO21:BY21"/>
    <mergeCell ref="BO20:BY20"/>
    <mergeCell ref="BD18:BI18"/>
    <mergeCell ref="BL4:BN4"/>
    <mergeCell ref="BD1:BN1"/>
    <mergeCell ref="BD3:BN3"/>
    <mergeCell ref="BD4:BF5"/>
    <mergeCell ref="BG4:BG5"/>
    <mergeCell ref="BH4:BJ4"/>
    <mergeCell ref="BO9:BP9"/>
    <mergeCell ref="BO10:BP10"/>
    <mergeCell ref="BO11:BP11"/>
    <mergeCell ref="BD10:BE10"/>
    <mergeCell ref="BD11:BE11"/>
    <mergeCell ref="BD2:BN2"/>
    <mergeCell ref="BO2:BY2"/>
    <mergeCell ref="BO12:BP12"/>
    <mergeCell ref="BO6:BP6"/>
    <mergeCell ref="BO1:BY1"/>
    <mergeCell ref="BO3:BY3"/>
    <mergeCell ref="BO4:BQ5"/>
    <mergeCell ref="BR4:BR5"/>
    <mergeCell ref="BS4:BU4"/>
    <mergeCell ref="BW4:BY4"/>
    <mergeCell ref="BZ16:CA16"/>
    <mergeCell ref="BO7:BP7"/>
    <mergeCell ref="BO8:BP8"/>
    <mergeCell ref="BZ1:CJ1"/>
    <mergeCell ref="BZ3:CJ3"/>
    <mergeCell ref="BZ4:CB5"/>
    <mergeCell ref="CC4:CC5"/>
    <mergeCell ref="CD4:CF4"/>
    <mergeCell ref="BZ11:CA11"/>
    <mergeCell ref="BZ12:CA12"/>
    <mergeCell ref="BO16:BP16"/>
    <mergeCell ref="BO13:BP13"/>
    <mergeCell ref="BO14:BP14"/>
    <mergeCell ref="BO15:BP15"/>
    <mergeCell ref="BZ2:CJ2"/>
    <mergeCell ref="BZ17:CA17"/>
    <mergeCell ref="BZ19:CJ19"/>
    <mergeCell ref="BZ21:CJ21"/>
    <mergeCell ref="BZ22:CB23"/>
    <mergeCell ref="CC22:CC23"/>
    <mergeCell ref="CH4:CJ4"/>
    <mergeCell ref="BZ6:CA6"/>
    <mergeCell ref="BZ7:CA7"/>
    <mergeCell ref="BZ8:CA8"/>
    <mergeCell ref="BZ9:CA9"/>
    <mergeCell ref="BZ10:CA10"/>
    <mergeCell ref="BZ13:CA13"/>
    <mergeCell ref="BZ14:CA14"/>
    <mergeCell ref="BZ15:CA15"/>
    <mergeCell ref="BZ18:CH18"/>
    <mergeCell ref="BZ33:CA33"/>
    <mergeCell ref="BZ34:CA34"/>
    <mergeCell ref="AS35:AT35"/>
    <mergeCell ref="AH28:AI28"/>
    <mergeCell ref="AH29:AI29"/>
    <mergeCell ref="AS28:AT28"/>
    <mergeCell ref="AS29:AT29"/>
    <mergeCell ref="AH32:AI32"/>
    <mergeCell ref="AH33:AI33"/>
    <mergeCell ref="AH34:AI34"/>
    <mergeCell ref="BD30:BE30"/>
    <mergeCell ref="BD29:BE29"/>
    <mergeCell ref="AH30:AI30"/>
    <mergeCell ref="AH31:AI31"/>
    <mergeCell ref="BD31:BE31"/>
    <mergeCell ref="AH35:AI35"/>
    <mergeCell ref="AS30:AT30"/>
    <mergeCell ref="AS31:AT31"/>
    <mergeCell ref="AS32:AT32"/>
    <mergeCell ref="AS33:AT33"/>
    <mergeCell ref="AS34:AT34"/>
    <mergeCell ref="BD35:BE35"/>
    <mergeCell ref="BD28:BE28"/>
    <mergeCell ref="AH27:AI27"/>
    <mergeCell ref="CD22:CF22"/>
    <mergeCell ref="CH22:CJ22"/>
    <mergeCell ref="BO28:BP28"/>
    <mergeCell ref="AS26:AT26"/>
    <mergeCell ref="BO35:BP35"/>
    <mergeCell ref="BD32:BE32"/>
    <mergeCell ref="BD33:BE33"/>
    <mergeCell ref="BD34:BE34"/>
    <mergeCell ref="BZ24:CA24"/>
    <mergeCell ref="BZ25:CA25"/>
    <mergeCell ref="BZ26:CA26"/>
    <mergeCell ref="BO30:BP30"/>
    <mergeCell ref="BO31:BP31"/>
    <mergeCell ref="BO32:BP32"/>
    <mergeCell ref="BO33:BP33"/>
    <mergeCell ref="BO34:BP34"/>
    <mergeCell ref="BZ27:CA27"/>
    <mergeCell ref="BZ28:CA28"/>
    <mergeCell ref="BZ29:CA29"/>
    <mergeCell ref="BO29:BP29"/>
    <mergeCell ref="BZ30:CA30"/>
    <mergeCell ref="BZ31:CA31"/>
    <mergeCell ref="BZ32:CA32"/>
    <mergeCell ref="BO38:BT38"/>
    <mergeCell ref="BZ38:CE38"/>
    <mergeCell ref="BZ35:CA35"/>
    <mergeCell ref="BO24:BP24"/>
    <mergeCell ref="BO25:BP25"/>
    <mergeCell ref="BO26:BP26"/>
    <mergeCell ref="BO27:BP27"/>
    <mergeCell ref="A36:I36"/>
    <mergeCell ref="BO36:BR36"/>
    <mergeCell ref="L38:Q38"/>
    <mergeCell ref="W38:AB38"/>
    <mergeCell ref="AH38:AM38"/>
    <mergeCell ref="AS38:AX38"/>
    <mergeCell ref="BD38:BI38"/>
    <mergeCell ref="L37:T37"/>
    <mergeCell ref="L36:S36"/>
    <mergeCell ref="A37:I37"/>
    <mergeCell ref="W36:AE36"/>
    <mergeCell ref="AH37:AP37"/>
    <mergeCell ref="AS36:BA36"/>
    <mergeCell ref="BD36:BL36"/>
    <mergeCell ref="BO37:BW37"/>
    <mergeCell ref="AH36:AP36"/>
    <mergeCell ref="AH26:AI26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I173"/>
  <sheetViews>
    <sheetView rightToLeft="1" view="pageBreakPreview" zoomScale="124" zoomScaleSheetLayoutView="124" workbookViewId="0">
      <selection activeCell="B12" sqref="B12:B14"/>
    </sheetView>
  </sheetViews>
  <sheetFormatPr defaultRowHeight="14.25"/>
  <cols>
    <col min="2" max="7" width="12.125" customWidth="1"/>
    <col min="8" max="8" width="12.125" style="881" customWidth="1"/>
    <col min="9" max="9" width="12.125" customWidth="1"/>
  </cols>
  <sheetData>
    <row r="1" spans="1:9" ht="20.25" customHeight="1">
      <c r="A1" s="972" t="s">
        <v>746</v>
      </c>
      <c r="B1" s="972"/>
      <c r="C1" s="972"/>
      <c r="D1" s="972"/>
      <c r="E1" s="972"/>
      <c r="F1" s="972"/>
      <c r="G1" s="972"/>
      <c r="H1" s="972"/>
      <c r="I1" s="972"/>
    </row>
    <row r="2" spans="1:9" ht="16.5" customHeight="1" thickBot="1">
      <c r="A2" s="1111" t="s">
        <v>666</v>
      </c>
      <c r="B2" s="1111"/>
      <c r="C2" s="1111"/>
      <c r="D2" s="1111"/>
      <c r="E2" s="1111"/>
      <c r="F2" s="1111"/>
      <c r="G2" s="1111"/>
      <c r="H2" s="1111"/>
      <c r="I2" s="1111"/>
    </row>
    <row r="3" spans="1:9" ht="28.5" customHeight="1" thickTop="1">
      <c r="A3" s="989" t="s">
        <v>650</v>
      </c>
      <c r="B3" s="989" t="s">
        <v>651</v>
      </c>
      <c r="C3" s="989" t="s">
        <v>652</v>
      </c>
      <c r="D3" s="989" t="s">
        <v>661</v>
      </c>
      <c r="E3" s="989" t="s">
        <v>660</v>
      </c>
      <c r="F3" s="988" t="s">
        <v>662</v>
      </c>
      <c r="G3" s="988"/>
      <c r="H3" s="1112" t="s">
        <v>657</v>
      </c>
      <c r="I3" s="989" t="s">
        <v>655</v>
      </c>
    </row>
    <row r="4" spans="1:9" ht="28.5" customHeight="1">
      <c r="A4" s="990"/>
      <c r="B4" s="990"/>
      <c r="C4" s="990"/>
      <c r="D4" s="990"/>
      <c r="E4" s="990"/>
      <c r="F4" s="259" t="s">
        <v>659</v>
      </c>
      <c r="G4" s="259" t="s">
        <v>658</v>
      </c>
      <c r="H4" s="1113"/>
      <c r="I4" s="990"/>
    </row>
    <row r="5" spans="1:9" ht="18.75" customHeight="1">
      <c r="A5" s="1109" t="s">
        <v>93</v>
      </c>
      <c r="B5" s="1110" t="s">
        <v>230</v>
      </c>
      <c r="C5" s="831" t="s">
        <v>115</v>
      </c>
      <c r="D5" s="846">
        <v>1800</v>
      </c>
      <c r="E5" s="835">
        <v>745</v>
      </c>
      <c r="F5" s="836">
        <v>603.5</v>
      </c>
      <c r="G5" s="836">
        <v>451.5</v>
      </c>
      <c r="H5" s="836">
        <f>F5+G5</f>
        <v>1055</v>
      </c>
      <c r="I5" s="882">
        <f>G5/H5*100</f>
        <v>42.796208530805686</v>
      </c>
    </row>
    <row r="6" spans="1:9" ht="18.75" customHeight="1">
      <c r="A6" s="1103"/>
      <c r="B6" s="1105"/>
      <c r="C6" s="829" t="s">
        <v>116</v>
      </c>
      <c r="D6" s="847">
        <v>550</v>
      </c>
      <c r="E6" s="837">
        <v>228</v>
      </c>
      <c r="F6" s="838">
        <v>300.10000000000002</v>
      </c>
      <c r="G6" s="838">
        <v>21.9</v>
      </c>
      <c r="H6" s="836">
        <f t="shared" ref="H6:H37" si="0">F6+G6</f>
        <v>322</v>
      </c>
      <c r="I6" s="882">
        <f t="shared" ref="I6:I37" si="1">G6/H6*100</f>
        <v>6.8012422360248443</v>
      </c>
    </row>
    <row r="7" spans="1:9" ht="18.75" customHeight="1">
      <c r="A7" s="1103"/>
      <c r="B7" s="1105"/>
      <c r="C7" s="829" t="s">
        <v>47</v>
      </c>
      <c r="D7" s="847">
        <v>2350</v>
      </c>
      <c r="E7" s="837">
        <v>973</v>
      </c>
      <c r="F7" s="838">
        <f>F5+F6</f>
        <v>903.6</v>
      </c>
      <c r="G7" s="838">
        <f>G5+G6</f>
        <v>473.4</v>
      </c>
      <c r="H7" s="836">
        <f t="shared" si="0"/>
        <v>1377</v>
      </c>
      <c r="I7" s="882">
        <f t="shared" si="1"/>
        <v>34.37908496732026</v>
      </c>
    </row>
    <row r="8" spans="1:9" ht="18.75" customHeight="1">
      <c r="A8" s="1103"/>
      <c r="B8" s="1105" t="s">
        <v>294</v>
      </c>
      <c r="C8" s="829" t="s">
        <v>115</v>
      </c>
      <c r="D8" s="847">
        <v>1450</v>
      </c>
      <c r="E8" s="837">
        <v>220</v>
      </c>
      <c r="F8" s="838">
        <v>881.9</v>
      </c>
      <c r="G8" s="838">
        <v>348.1</v>
      </c>
      <c r="H8" s="836">
        <f t="shared" si="0"/>
        <v>1230</v>
      </c>
      <c r="I8" s="882">
        <f t="shared" si="1"/>
        <v>28.300813008130081</v>
      </c>
    </row>
    <row r="9" spans="1:9" ht="18.75" customHeight="1">
      <c r="A9" s="1103"/>
      <c r="B9" s="1105"/>
      <c r="C9" s="829" t="s">
        <v>116</v>
      </c>
      <c r="D9" s="847">
        <v>500</v>
      </c>
      <c r="E9" s="837">
        <v>345</v>
      </c>
      <c r="F9" s="838">
        <v>51.1</v>
      </c>
      <c r="G9" s="838">
        <v>103.9</v>
      </c>
      <c r="H9" s="836">
        <f t="shared" si="0"/>
        <v>155</v>
      </c>
      <c r="I9" s="882">
        <f t="shared" si="1"/>
        <v>67.032258064516142</v>
      </c>
    </row>
    <row r="10" spans="1:9" ht="18.75" customHeight="1">
      <c r="A10" s="1103"/>
      <c r="B10" s="1105"/>
      <c r="C10" s="829" t="s">
        <v>310</v>
      </c>
      <c r="D10" s="847">
        <v>1050</v>
      </c>
      <c r="E10" s="837">
        <v>15</v>
      </c>
      <c r="F10" s="838">
        <v>343.6</v>
      </c>
      <c r="G10" s="838">
        <v>691.4</v>
      </c>
      <c r="H10" s="836">
        <f t="shared" si="0"/>
        <v>1035</v>
      </c>
      <c r="I10" s="882">
        <f t="shared" si="1"/>
        <v>66.801932367149746</v>
      </c>
    </row>
    <row r="11" spans="1:9" ht="18.75" customHeight="1">
      <c r="A11" s="1103"/>
      <c r="B11" s="1105"/>
      <c r="C11" s="829" t="s">
        <v>47</v>
      </c>
      <c r="D11" s="847">
        <v>3000</v>
      </c>
      <c r="E11" s="837">
        <v>580</v>
      </c>
      <c r="F11" s="838">
        <f>F8+F9+F10</f>
        <v>1276.5999999999999</v>
      </c>
      <c r="G11" s="838">
        <f>G8+G9+G10</f>
        <v>1143.4000000000001</v>
      </c>
      <c r="H11" s="836">
        <f t="shared" si="0"/>
        <v>2420</v>
      </c>
      <c r="I11" s="882">
        <f t="shared" si="1"/>
        <v>47.247933884297524</v>
      </c>
    </row>
    <row r="12" spans="1:9" ht="18.75" customHeight="1">
      <c r="A12" s="1103"/>
      <c r="B12" s="1106" t="s">
        <v>653</v>
      </c>
      <c r="C12" s="829" t="s">
        <v>116</v>
      </c>
      <c r="D12" s="847">
        <v>1200</v>
      </c>
      <c r="E12" s="837">
        <v>637</v>
      </c>
      <c r="F12" s="838">
        <v>217.9</v>
      </c>
      <c r="G12" s="838">
        <v>345.1</v>
      </c>
      <c r="H12" s="836">
        <f t="shared" si="0"/>
        <v>563</v>
      </c>
      <c r="I12" s="882">
        <f t="shared" si="1"/>
        <v>61.296625222024872</v>
      </c>
    </row>
    <row r="13" spans="1:9" ht="18.75" customHeight="1">
      <c r="A13" s="1103"/>
      <c r="B13" s="1106"/>
      <c r="C13" s="828" t="s">
        <v>310</v>
      </c>
      <c r="D13" s="847">
        <v>1800</v>
      </c>
      <c r="E13" s="837">
        <v>600</v>
      </c>
      <c r="F13" s="838">
        <v>348</v>
      </c>
      <c r="G13" s="838">
        <v>852</v>
      </c>
      <c r="H13" s="836">
        <f t="shared" si="0"/>
        <v>1200</v>
      </c>
      <c r="I13" s="882">
        <f t="shared" si="1"/>
        <v>71</v>
      </c>
    </row>
    <row r="14" spans="1:9" ht="18.75" customHeight="1">
      <c r="A14" s="1103"/>
      <c r="B14" s="1106"/>
      <c r="C14" s="830" t="s">
        <v>47</v>
      </c>
      <c r="D14" s="847">
        <v>3000</v>
      </c>
      <c r="E14" s="837">
        <v>1237</v>
      </c>
      <c r="F14" s="838">
        <f>F12+F13</f>
        <v>565.9</v>
      </c>
      <c r="G14" s="838">
        <f>G12+G13</f>
        <v>1197.0999999999999</v>
      </c>
      <c r="H14" s="836">
        <f t="shared" si="0"/>
        <v>1763</v>
      </c>
      <c r="I14" s="882">
        <f t="shared" si="1"/>
        <v>67.901304594441285</v>
      </c>
    </row>
    <row r="15" spans="1:9" ht="18.75" customHeight="1">
      <c r="A15" s="1103"/>
      <c r="B15" s="1108" t="s">
        <v>654</v>
      </c>
      <c r="C15" s="1108"/>
      <c r="D15" s="861">
        <v>8350</v>
      </c>
      <c r="E15" s="862">
        <v>2790</v>
      </c>
      <c r="F15" s="863">
        <f>F7+F11+F14</f>
        <v>2746.1</v>
      </c>
      <c r="G15" s="863">
        <f>G7+G11+G14</f>
        <v>2813.9</v>
      </c>
      <c r="H15" s="863">
        <f t="shared" si="0"/>
        <v>5560</v>
      </c>
      <c r="I15" s="883">
        <f>G15/H15*100</f>
        <v>50.609712230215834</v>
      </c>
    </row>
    <row r="16" spans="1:9" ht="18.75" customHeight="1">
      <c r="A16" s="1114" t="s">
        <v>20</v>
      </c>
      <c r="B16" s="1105" t="s">
        <v>230</v>
      </c>
      <c r="C16" s="829" t="s">
        <v>115</v>
      </c>
      <c r="D16" s="847">
        <v>1800</v>
      </c>
      <c r="E16" s="837">
        <v>745</v>
      </c>
      <c r="F16" s="838">
        <v>616</v>
      </c>
      <c r="G16" s="838">
        <v>439</v>
      </c>
      <c r="H16" s="836">
        <f t="shared" si="0"/>
        <v>1055</v>
      </c>
      <c r="I16" s="882">
        <f t="shared" si="1"/>
        <v>41.611374407582943</v>
      </c>
    </row>
    <row r="17" spans="1:9" ht="18.75" customHeight="1">
      <c r="A17" s="1115"/>
      <c r="B17" s="1105"/>
      <c r="C17" s="829" t="s">
        <v>116</v>
      </c>
      <c r="D17" s="847">
        <v>550</v>
      </c>
      <c r="E17" s="837">
        <v>228</v>
      </c>
      <c r="F17" s="838">
        <v>306.5</v>
      </c>
      <c r="G17" s="838">
        <v>15.5</v>
      </c>
      <c r="H17" s="836">
        <f t="shared" si="0"/>
        <v>322</v>
      </c>
      <c r="I17" s="882">
        <f t="shared" si="1"/>
        <v>4.8136645962732922</v>
      </c>
    </row>
    <row r="18" spans="1:9" ht="18.75" customHeight="1">
      <c r="A18" s="1115"/>
      <c r="B18" s="1105"/>
      <c r="C18" s="829" t="s">
        <v>47</v>
      </c>
      <c r="D18" s="847">
        <v>2350</v>
      </c>
      <c r="E18" s="837">
        <v>973</v>
      </c>
      <c r="F18" s="838">
        <f>F16+F17</f>
        <v>922.5</v>
      </c>
      <c r="G18" s="838">
        <f>G16+G17</f>
        <v>454.5</v>
      </c>
      <c r="H18" s="836">
        <f t="shared" si="0"/>
        <v>1377</v>
      </c>
      <c r="I18" s="882">
        <f t="shared" si="1"/>
        <v>33.006535947712415</v>
      </c>
    </row>
    <row r="19" spans="1:9" ht="18.75" customHeight="1">
      <c r="A19" s="1115"/>
      <c r="B19" s="1105" t="s">
        <v>294</v>
      </c>
      <c r="C19" s="829" t="s">
        <v>115</v>
      </c>
      <c r="D19" s="847">
        <v>1450</v>
      </c>
      <c r="E19" s="837">
        <v>220</v>
      </c>
      <c r="F19" s="838">
        <v>895</v>
      </c>
      <c r="G19" s="838">
        <v>335</v>
      </c>
      <c r="H19" s="836">
        <f t="shared" si="0"/>
        <v>1230</v>
      </c>
      <c r="I19" s="882">
        <f t="shared" si="1"/>
        <v>27.235772357723576</v>
      </c>
    </row>
    <row r="20" spans="1:9" ht="18.75" customHeight="1">
      <c r="A20" s="1115"/>
      <c r="B20" s="1105"/>
      <c r="C20" s="829" t="s">
        <v>116</v>
      </c>
      <c r="D20" s="847">
        <v>500</v>
      </c>
      <c r="E20" s="837">
        <v>345</v>
      </c>
      <c r="F20" s="838">
        <v>54</v>
      </c>
      <c r="G20" s="838">
        <v>101</v>
      </c>
      <c r="H20" s="836">
        <f t="shared" si="0"/>
        <v>155</v>
      </c>
      <c r="I20" s="882">
        <f t="shared" si="1"/>
        <v>65.161290322580641</v>
      </c>
    </row>
    <row r="21" spans="1:9" ht="18.75" customHeight="1">
      <c r="A21" s="1115"/>
      <c r="B21" s="1105"/>
      <c r="C21" s="829" t="s">
        <v>310</v>
      </c>
      <c r="D21" s="847">
        <v>1050</v>
      </c>
      <c r="E21" s="837">
        <v>15</v>
      </c>
      <c r="F21" s="838">
        <v>471</v>
      </c>
      <c r="G21" s="838">
        <v>564</v>
      </c>
      <c r="H21" s="836">
        <f t="shared" si="0"/>
        <v>1035</v>
      </c>
      <c r="I21" s="882">
        <f>G21/H21*100</f>
        <v>54.492753623188406</v>
      </c>
    </row>
    <row r="22" spans="1:9" ht="18.75" customHeight="1">
      <c r="A22" s="1115"/>
      <c r="B22" s="1105"/>
      <c r="C22" s="829" t="s">
        <v>47</v>
      </c>
      <c r="D22" s="847">
        <v>3000</v>
      </c>
      <c r="E22" s="837">
        <v>580</v>
      </c>
      <c r="F22" s="838">
        <f>F19+F20+F21</f>
        <v>1420</v>
      </c>
      <c r="G22" s="838">
        <f>G19+G20+G21</f>
        <v>1000</v>
      </c>
      <c r="H22" s="836">
        <f t="shared" si="0"/>
        <v>2420</v>
      </c>
      <c r="I22" s="882">
        <f t="shared" si="1"/>
        <v>41.32231404958678</v>
      </c>
    </row>
    <row r="23" spans="1:9" ht="18.75" customHeight="1">
      <c r="A23" s="1115"/>
      <c r="B23" s="1106" t="s">
        <v>653</v>
      </c>
      <c r="C23" s="829" t="s">
        <v>116</v>
      </c>
      <c r="D23" s="847">
        <v>1200</v>
      </c>
      <c r="E23" s="837">
        <v>637</v>
      </c>
      <c r="F23" s="838">
        <v>232</v>
      </c>
      <c r="G23" s="838">
        <v>331</v>
      </c>
      <c r="H23" s="836">
        <f t="shared" si="0"/>
        <v>563</v>
      </c>
      <c r="I23" s="882">
        <f t="shared" si="1"/>
        <v>58.792184724689164</v>
      </c>
    </row>
    <row r="24" spans="1:9" ht="18.75" customHeight="1">
      <c r="A24" s="1115"/>
      <c r="B24" s="1106"/>
      <c r="C24" s="828" t="s">
        <v>310</v>
      </c>
      <c r="D24" s="847">
        <v>1800</v>
      </c>
      <c r="E24" s="837">
        <v>600</v>
      </c>
      <c r="F24" s="838">
        <v>398</v>
      </c>
      <c r="G24" s="838">
        <v>802</v>
      </c>
      <c r="H24" s="836">
        <f t="shared" si="0"/>
        <v>1200</v>
      </c>
      <c r="I24" s="882">
        <f t="shared" si="1"/>
        <v>66.833333333333329</v>
      </c>
    </row>
    <row r="25" spans="1:9" ht="18.75" customHeight="1">
      <c r="A25" s="1115"/>
      <c r="B25" s="1106"/>
      <c r="C25" s="830" t="s">
        <v>47</v>
      </c>
      <c r="D25" s="847">
        <v>3000</v>
      </c>
      <c r="E25" s="837">
        <v>1237</v>
      </c>
      <c r="F25" s="838">
        <f>F23+F24</f>
        <v>630</v>
      </c>
      <c r="G25" s="838">
        <f>G23+G24</f>
        <v>1133</v>
      </c>
      <c r="H25" s="836">
        <f t="shared" si="0"/>
        <v>1763</v>
      </c>
      <c r="I25" s="882">
        <f t="shared" si="1"/>
        <v>64.26545660805445</v>
      </c>
    </row>
    <row r="26" spans="1:9" ht="18.75" customHeight="1">
      <c r="A26" s="1109"/>
      <c r="B26" s="1108" t="s">
        <v>654</v>
      </c>
      <c r="C26" s="1108"/>
      <c r="D26" s="861">
        <v>8350</v>
      </c>
      <c r="E26" s="862">
        <v>2790</v>
      </c>
      <c r="F26" s="863">
        <f>F18+F22+F25</f>
        <v>2972.5</v>
      </c>
      <c r="G26" s="863">
        <f>G18+G22+G25</f>
        <v>2587.5</v>
      </c>
      <c r="H26" s="863">
        <f t="shared" si="0"/>
        <v>5560</v>
      </c>
      <c r="I26" s="883">
        <f>G26/H26*100</f>
        <v>46.53776978417266</v>
      </c>
    </row>
    <row r="27" spans="1:9" ht="18.75" customHeight="1">
      <c r="A27" s="1114" t="s">
        <v>40</v>
      </c>
      <c r="B27" s="1105" t="s">
        <v>230</v>
      </c>
      <c r="C27" s="829" t="s">
        <v>115</v>
      </c>
      <c r="D27" s="847">
        <v>1800</v>
      </c>
      <c r="E27" s="837">
        <v>745</v>
      </c>
      <c r="F27" s="838">
        <v>540</v>
      </c>
      <c r="G27" s="838">
        <v>515</v>
      </c>
      <c r="H27" s="836">
        <f t="shared" si="0"/>
        <v>1055</v>
      </c>
      <c r="I27" s="882">
        <f t="shared" si="1"/>
        <v>48.81516587677725</v>
      </c>
    </row>
    <row r="28" spans="1:9" ht="18.75" customHeight="1">
      <c r="A28" s="1115"/>
      <c r="B28" s="1105"/>
      <c r="C28" s="829" t="s">
        <v>116</v>
      </c>
      <c r="D28" s="847">
        <v>550</v>
      </c>
      <c r="E28" s="837">
        <v>228</v>
      </c>
      <c r="F28" s="838">
        <v>299.2</v>
      </c>
      <c r="G28" s="838">
        <v>22.8</v>
      </c>
      <c r="H28" s="836">
        <f t="shared" si="0"/>
        <v>322</v>
      </c>
      <c r="I28" s="882">
        <f t="shared" si="1"/>
        <v>7.0807453416149064</v>
      </c>
    </row>
    <row r="29" spans="1:9" ht="18.75" customHeight="1">
      <c r="A29" s="1115"/>
      <c r="B29" s="1105"/>
      <c r="C29" s="829" t="s">
        <v>47</v>
      </c>
      <c r="D29" s="847">
        <v>2350</v>
      </c>
      <c r="E29" s="837">
        <v>973</v>
      </c>
      <c r="F29" s="838">
        <f>F27+F28</f>
        <v>839.2</v>
      </c>
      <c r="G29" s="838">
        <f>G27+G28</f>
        <v>537.79999999999995</v>
      </c>
      <c r="H29" s="836">
        <f t="shared" si="0"/>
        <v>1377</v>
      </c>
      <c r="I29" s="882">
        <f t="shared" si="1"/>
        <v>39.055918663761794</v>
      </c>
    </row>
    <row r="30" spans="1:9" ht="18.75" customHeight="1">
      <c r="A30" s="1115"/>
      <c r="B30" s="1105" t="s">
        <v>294</v>
      </c>
      <c r="C30" s="829" t="s">
        <v>115</v>
      </c>
      <c r="D30" s="847">
        <v>1450</v>
      </c>
      <c r="E30" s="837">
        <v>220</v>
      </c>
      <c r="F30" s="838">
        <v>821.8</v>
      </c>
      <c r="G30" s="838">
        <v>408.2</v>
      </c>
      <c r="H30" s="836">
        <f t="shared" si="0"/>
        <v>1230</v>
      </c>
      <c r="I30" s="882">
        <f t="shared" si="1"/>
        <v>33.1869918699187</v>
      </c>
    </row>
    <row r="31" spans="1:9" ht="18.75" customHeight="1">
      <c r="A31" s="1115"/>
      <c r="B31" s="1105"/>
      <c r="C31" s="829" t="s">
        <v>116</v>
      </c>
      <c r="D31" s="847">
        <v>500</v>
      </c>
      <c r="E31" s="837">
        <v>345</v>
      </c>
      <c r="F31" s="838">
        <v>49.6</v>
      </c>
      <c r="G31" s="838">
        <v>105.4</v>
      </c>
      <c r="H31" s="836">
        <f t="shared" si="0"/>
        <v>155</v>
      </c>
      <c r="I31" s="882">
        <f t="shared" si="1"/>
        <v>68</v>
      </c>
    </row>
    <row r="32" spans="1:9" ht="18.75" customHeight="1">
      <c r="A32" s="1115"/>
      <c r="B32" s="1105"/>
      <c r="C32" s="829" t="s">
        <v>310</v>
      </c>
      <c r="D32" s="847">
        <v>1050</v>
      </c>
      <c r="E32" s="837">
        <v>15</v>
      </c>
      <c r="F32" s="838">
        <v>350.3</v>
      </c>
      <c r="G32" s="838">
        <v>684.7</v>
      </c>
      <c r="H32" s="836">
        <f t="shared" si="0"/>
        <v>1035</v>
      </c>
      <c r="I32" s="882">
        <f t="shared" si="1"/>
        <v>66.154589371980677</v>
      </c>
    </row>
    <row r="33" spans="1:9" ht="18.75" customHeight="1">
      <c r="A33" s="1115"/>
      <c r="B33" s="1117"/>
      <c r="C33" s="832" t="s">
        <v>47</v>
      </c>
      <c r="D33" s="848">
        <v>3000</v>
      </c>
      <c r="E33" s="839">
        <v>580</v>
      </c>
      <c r="F33" s="840">
        <f>F30+F31+F32</f>
        <v>1221.7</v>
      </c>
      <c r="G33" s="840">
        <f>G30+G31+G32</f>
        <v>1198.3000000000002</v>
      </c>
      <c r="H33" s="836">
        <f t="shared" si="0"/>
        <v>2420</v>
      </c>
      <c r="I33" s="882">
        <f t="shared" si="1"/>
        <v>49.516528925619838</v>
      </c>
    </row>
    <row r="34" spans="1:9" ht="18.75" customHeight="1">
      <c r="A34" s="1115"/>
      <c r="B34" s="1106" t="s">
        <v>653</v>
      </c>
      <c r="C34" s="829" t="s">
        <v>116</v>
      </c>
      <c r="D34" s="847">
        <v>1200</v>
      </c>
      <c r="E34" s="837">
        <v>637</v>
      </c>
      <c r="F34" s="838">
        <v>157.6</v>
      </c>
      <c r="G34" s="838">
        <v>405.4</v>
      </c>
      <c r="H34" s="836">
        <f t="shared" si="0"/>
        <v>563</v>
      </c>
      <c r="I34" s="882">
        <f t="shared" si="1"/>
        <v>72.007104795737121</v>
      </c>
    </row>
    <row r="35" spans="1:9" ht="18.75" customHeight="1">
      <c r="A35" s="1115"/>
      <c r="B35" s="1106"/>
      <c r="C35" s="828" t="s">
        <v>310</v>
      </c>
      <c r="D35" s="847">
        <v>1800</v>
      </c>
      <c r="E35" s="837">
        <v>600</v>
      </c>
      <c r="F35" s="838">
        <v>354</v>
      </c>
      <c r="G35" s="838">
        <v>846</v>
      </c>
      <c r="H35" s="836">
        <f t="shared" si="0"/>
        <v>1200</v>
      </c>
      <c r="I35" s="882">
        <f t="shared" si="1"/>
        <v>70.5</v>
      </c>
    </row>
    <row r="36" spans="1:9" ht="18.75" customHeight="1">
      <c r="A36" s="1115"/>
      <c r="B36" s="1106"/>
      <c r="C36" s="830" t="s">
        <v>47</v>
      </c>
      <c r="D36" s="847">
        <v>3000</v>
      </c>
      <c r="E36" s="837">
        <v>1237</v>
      </c>
      <c r="F36" s="838">
        <f>F34+F35</f>
        <v>511.6</v>
      </c>
      <c r="G36" s="838">
        <f>G34+G35</f>
        <v>1251.4000000000001</v>
      </c>
      <c r="H36" s="836">
        <f t="shared" si="0"/>
        <v>1763</v>
      </c>
      <c r="I36" s="882">
        <f>G36/H36*100</f>
        <v>70.981281905842323</v>
      </c>
    </row>
    <row r="37" spans="1:9" ht="18.75" customHeight="1">
      <c r="A37" s="1116"/>
      <c r="B37" s="1107" t="s">
        <v>654</v>
      </c>
      <c r="C37" s="1107"/>
      <c r="D37" s="864">
        <v>8350</v>
      </c>
      <c r="E37" s="865">
        <v>2790</v>
      </c>
      <c r="F37" s="866">
        <f>F29+F33+F36</f>
        <v>2572.5</v>
      </c>
      <c r="G37" s="866">
        <f>G29+G33+G36</f>
        <v>2987.5</v>
      </c>
      <c r="H37" s="866">
        <f t="shared" si="0"/>
        <v>5560</v>
      </c>
      <c r="I37" s="879">
        <f t="shared" si="1"/>
        <v>53.732014388489212</v>
      </c>
    </row>
    <row r="38" spans="1:9" ht="18.75" customHeight="1">
      <c r="A38" s="853"/>
      <c r="B38" s="841"/>
      <c r="C38" s="841"/>
      <c r="D38" s="842"/>
      <c r="E38" s="842"/>
      <c r="F38" s="843"/>
      <c r="G38" s="843"/>
      <c r="H38" s="843"/>
      <c r="I38" s="843" t="s">
        <v>121</v>
      </c>
    </row>
    <row r="39" spans="1:9" ht="17.25" customHeight="1">
      <c r="A39" s="1101" t="s">
        <v>7</v>
      </c>
      <c r="B39" s="1101"/>
      <c r="C39" s="1101"/>
      <c r="D39" s="1101"/>
      <c r="E39" s="1101"/>
      <c r="F39" s="1101"/>
      <c r="G39" s="843"/>
      <c r="H39" s="843"/>
      <c r="I39" s="843"/>
    </row>
    <row r="40" spans="1:9" ht="18.75" customHeight="1">
      <c r="A40" s="853"/>
      <c r="B40" s="841"/>
      <c r="C40" s="841"/>
      <c r="D40" s="842"/>
      <c r="E40" s="842"/>
      <c r="F40" s="843"/>
      <c r="G40" s="843"/>
      <c r="H40" s="843"/>
      <c r="I40" s="843"/>
    </row>
    <row r="41" spans="1:9" ht="18.75" customHeight="1">
      <c r="A41" s="853"/>
      <c r="B41" s="841"/>
      <c r="C41" s="841"/>
      <c r="D41" s="842"/>
      <c r="E41" s="842"/>
      <c r="F41" s="843"/>
      <c r="G41" s="843"/>
      <c r="H41" s="843"/>
      <c r="I41" s="843"/>
    </row>
    <row r="42" spans="1:9" ht="18.75" customHeight="1">
      <c r="A42" s="853"/>
      <c r="B42" s="841"/>
      <c r="C42" s="841"/>
      <c r="D42" s="842"/>
      <c r="E42" s="842"/>
      <c r="F42" s="843"/>
      <c r="G42" s="843"/>
      <c r="H42" s="843"/>
      <c r="I42" s="843"/>
    </row>
    <row r="43" spans="1:9" ht="18.75" customHeight="1">
      <c r="A43" s="853"/>
      <c r="B43" s="841"/>
      <c r="C43" s="841"/>
      <c r="D43" s="842"/>
      <c r="E43" s="842"/>
      <c r="F43" s="843"/>
      <c r="G43" s="843"/>
      <c r="H43" s="843"/>
      <c r="I43" s="843"/>
    </row>
    <row r="44" spans="1:9" ht="17.25" customHeight="1">
      <c r="A44" s="1102" t="s">
        <v>336</v>
      </c>
      <c r="B44" s="1102"/>
      <c r="C44" s="1102"/>
      <c r="D44" s="1102"/>
      <c r="E44" s="1102"/>
      <c r="F44" s="1102"/>
      <c r="G44" s="1102"/>
      <c r="H44" s="920"/>
      <c r="I44" s="921">
        <v>58</v>
      </c>
    </row>
    <row r="45" spans="1:9" ht="20.25" customHeight="1">
      <c r="A45" s="972" t="s">
        <v>746</v>
      </c>
      <c r="B45" s="972"/>
      <c r="C45" s="972"/>
      <c r="D45" s="972"/>
      <c r="E45" s="972"/>
      <c r="F45" s="972"/>
      <c r="G45" s="972"/>
      <c r="H45" s="972"/>
      <c r="I45" s="972"/>
    </row>
    <row r="46" spans="1:9" ht="24.75" customHeight="1" thickBot="1">
      <c r="A46" s="1111" t="s">
        <v>667</v>
      </c>
      <c r="B46" s="1111"/>
      <c r="C46" s="1111"/>
      <c r="D46" s="1111"/>
      <c r="E46" s="1111"/>
      <c r="F46" s="1111"/>
      <c r="G46" s="1111"/>
      <c r="H46" s="1111"/>
      <c r="I46" s="1111"/>
    </row>
    <row r="47" spans="1:9" ht="27.75" customHeight="1" thickTop="1">
      <c r="A47" s="989" t="s">
        <v>650</v>
      </c>
      <c r="B47" s="989" t="s">
        <v>651</v>
      </c>
      <c r="C47" s="989" t="s">
        <v>652</v>
      </c>
      <c r="D47" s="989" t="s">
        <v>661</v>
      </c>
      <c r="E47" s="989" t="s">
        <v>660</v>
      </c>
      <c r="F47" s="988" t="s">
        <v>662</v>
      </c>
      <c r="G47" s="988"/>
      <c r="H47" s="1112" t="s">
        <v>657</v>
      </c>
      <c r="I47" s="989" t="s">
        <v>655</v>
      </c>
    </row>
    <row r="48" spans="1:9" ht="27.75" customHeight="1">
      <c r="A48" s="990"/>
      <c r="B48" s="990"/>
      <c r="C48" s="990"/>
      <c r="D48" s="990"/>
      <c r="E48" s="990"/>
      <c r="F48" s="259" t="s">
        <v>659</v>
      </c>
      <c r="G48" s="259" t="s">
        <v>658</v>
      </c>
      <c r="H48" s="1113"/>
      <c r="I48" s="990"/>
    </row>
    <row r="49" spans="1:9" ht="18.75" customHeight="1">
      <c r="A49" s="1115" t="s">
        <v>22</v>
      </c>
      <c r="B49" s="1110" t="s">
        <v>230</v>
      </c>
      <c r="C49" s="831" t="s">
        <v>115</v>
      </c>
      <c r="D49" s="846">
        <v>1800</v>
      </c>
      <c r="E49" s="835">
        <v>745</v>
      </c>
      <c r="F49" s="836">
        <v>434.6</v>
      </c>
      <c r="G49" s="836">
        <v>620.4</v>
      </c>
      <c r="H49" s="836">
        <f>F49+G49</f>
        <v>1055</v>
      </c>
      <c r="I49" s="882">
        <f>G49/H49*100</f>
        <v>58.805687203791464</v>
      </c>
    </row>
    <row r="50" spans="1:9" ht="18.75" customHeight="1">
      <c r="A50" s="1115"/>
      <c r="B50" s="1105"/>
      <c r="C50" s="829" t="s">
        <v>116</v>
      </c>
      <c r="D50" s="847">
        <v>550</v>
      </c>
      <c r="E50" s="837">
        <v>228</v>
      </c>
      <c r="F50" s="838">
        <v>296</v>
      </c>
      <c r="G50" s="838">
        <v>26</v>
      </c>
      <c r="H50" s="836">
        <f t="shared" ref="H50:H81" si="2">F50+G50</f>
        <v>322</v>
      </c>
      <c r="I50" s="882">
        <f t="shared" ref="I50:I81" si="3">G50/H50*100</f>
        <v>8.0745341614906838</v>
      </c>
    </row>
    <row r="51" spans="1:9" ht="18.75" customHeight="1">
      <c r="A51" s="1115"/>
      <c r="B51" s="1105"/>
      <c r="C51" s="829" t="s">
        <v>47</v>
      </c>
      <c r="D51" s="847">
        <v>2350</v>
      </c>
      <c r="E51" s="837">
        <v>973</v>
      </c>
      <c r="F51" s="838">
        <f>F49+F50</f>
        <v>730.6</v>
      </c>
      <c r="G51" s="838">
        <f>G49+G50</f>
        <v>646.4</v>
      </c>
      <c r="H51" s="836">
        <f t="shared" si="2"/>
        <v>1377</v>
      </c>
      <c r="I51" s="882">
        <f t="shared" si="3"/>
        <v>46.942628903413215</v>
      </c>
    </row>
    <row r="52" spans="1:9" ht="18.75" customHeight="1">
      <c r="A52" s="1115"/>
      <c r="B52" s="1105" t="s">
        <v>294</v>
      </c>
      <c r="C52" s="829" t="s">
        <v>115</v>
      </c>
      <c r="D52" s="847">
        <v>1450</v>
      </c>
      <c r="E52" s="837">
        <v>220</v>
      </c>
      <c r="F52" s="838">
        <v>717.3</v>
      </c>
      <c r="G52" s="838">
        <v>512.70000000000005</v>
      </c>
      <c r="H52" s="836">
        <f t="shared" si="2"/>
        <v>1230</v>
      </c>
      <c r="I52" s="882">
        <f t="shared" si="3"/>
        <v>41.682926829268297</v>
      </c>
    </row>
    <row r="53" spans="1:9" ht="18.75" customHeight="1">
      <c r="A53" s="1115"/>
      <c r="B53" s="1105"/>
      <c r="C53" s="829" t="s">
        <v>116</v>
      </c>
      <c r="D53" s="847">
        <v>500</v>
      </c>
      <c r="E53" s="837">
        <v>345</v>
      </c>
      <c r="F53" s="838">
        <v>46.5</v>
      </c>
      <c r="G53" s="838">
        <v>108.5</v>
      </c>
      <c r="H53" s="836">
        <f t="shared" si="2"/>
        <v>155</v>
      </c>
      <c r="I53" s="882">
        <f t="shared" si="3"/>
        <v>70</v>
      </c>
    </row>
    <row r="54" spans="1:9" ht="18.75" customHeight="1">
      <c r="A54" s="1115"/>
      <c r="B54" s="1105"/>
      <c r="C54" s="829" t="s">
        <v>310</v>
      </c>
      <c r="D54" s="847">
        <v>1050</v>
      </c>
      <c r="E54" s="837">
        <v>15</v>
      </c>
      <c r="F54" s="838">
        <v>312.60000000000002</v>
      </c>
      <c r="G54" s="838">
        <v>722.4</v>
      </c>
      <c r="H54" s="836">
        <f t="shared" si="2"/>
        <v>1035</v>
      </c>
      <c r="I54" s="882">
        <f t="shared" si="3"/>
        <v>69.79710144927536</v>
      </c>
    </row>
    <row r="55" spans="1:9" ht="18.75" customHeight="1">
      <c r="A55" s="1115"/>
      <c r="B55" s="1105"/>
      <c r="C55" s="829" t="s">
        <v>47</v>
      </c>
      <c r="D55" s="847">
        <v>3000</v>
      </c>
      <c r="E55" s="837">
        <v>580</v>
      </c>
      <c r="F55" s="838">
        <f>F52+F53+F54</f>
        <v>1076.4000000000001</v>
      </c>
      <c r="G55" s="838">
        <f>G52+G53+G54</f>
        <v>1343.6</v>
      </c>
      <c r="H55" s="836">
        <f t="shared" si="2"/>
        <v>2420</v>
      </c>
      <c r="I55" s="882">
        <f t="shared" si="3"/>
        <v>55.52066115702479</v>
      </c>
    </row>
    <row r="56" spans="1:9" ht="18.75" customHeight="1">
      <c r="A56" s="1115"/>
      <c r="B56" s="1106" t="s">
        <v>653</v>
      </c>
      <c r="C56" s="829" t="s">
        <v>116</v>
      </c>
      <c r="D56" s="847">
        <v>1200</v>
      </c>
      <c r="E56" s="837">
        <v>637</v>
      </c>
      <c r="F56" s="838">
        <v>152</v>
      </c>
      <c r="G56" s="838">
        <v>411</v>
      </c>
      <c r="H56" s="836">
        <f t="shared" si="2"/>
        <v>563</v>
      </c>
      <c r="I56" s="882">
        <f t="shared" si="3"/>
        <v>73.00177619893428</v>
      </c>
    </row>
    <row r="57" spans="1:9" ht="18.75" customHeight="1">
      <c r="A57" s="1115"/>
      <c r="B57" s="1106"/>
      <c r="C57" s="828" t="s">
        <v>310</v>
      </c>
      <c r="D57" s="847">
        <v>1800</v>
      </c>
      <c r="E57" s="837">
        <v>600</v>
      </c>
      <c r="F57" s="838">
        <v>318</v>
      </c>
      <c r="G57" s="838">
        <v>822</v>
      </c>
      <c r="H57" s="836">
        <f>SUM(F57:G57)</f>
        <v>1140</v>
      </c>
      <c r="I57" s="882">
        <f t="shared" si="3"/>
        <v>72.10526315789474</v>
      </c>
    </row>
    <row r="58" spans="1:9" ht="18.75" customHeight="1">
      <c r="A58" s="1115"/>
      <c r="B58" s="1106"/>
      <c r="C58" s="830" t="s">
        <v>47</v>
      </c>
      <c r="D58" s="847">
        <v>3000</v>
      </c>
      <c r="E58" s="837">
        <v>1237</v>
      </c>
      <c r="F58" s="838">
        <f>F56+F57</f>
        <v>470</v>
      </c>
      <c r="G58" s="838">
        <v>1293</v>
      </c>
      <c r="H58" s="836">
        <f t="shared" si="2"/>
        <v>1763</v>
      </c>
      <c r="I58" s="882">
        <f t="shared" si="3"/>
        <v>73.340896199659667</v>
      </c>
    </row>
    <row r="59" spans="1:9" ht="18.75" customHeight="1">
      <c r="A59" s="1109"/>
      <c r="B59" s="1108" t="s">
        <v>654</v>
      </c>
      <c r="C59" s="1108"/>
      <c r="D59" s="861">
        <v>8350</v>
      </c>
      <c r="E59" s="862">
        <v>2790</v>
      </c>
      <c r="F59" s="863">
        <f>F51+F55+F58</f>
        <v>2277</v>
      </c>
      <c r="G59" s="863">
        <f>G51+G55+G58</f>
        <v>3283</v>
      </c>
      <c r="H59" s="863">
        <f>H51+H55+H58</f>
        <v>5560</v>
      </c>
      <c r="I59" s="883">
        <f t="shared" si="3"/>
        <v>59.046762589928058</v>
      </c>
    </row>
    <row r="60" spans="1:9" ht="18.75" customHeight="1">
      <c r="A60" s="1103" t="s">
        <v>23</v>
      </c>
      <c r="B60" s="1105" t="s">
        <v>230</v>
      </c>
      <c r="C60" s="829" t="s">
        <v>115</v>
      </c>
      <c r="D60" s="847">
        <v>1800</v>
      </c>
      <c r="E60" s="837">
        <v>745</v>
      </c>
      <c r="F60" s="838">
        <v>295.39999999999998</v>
      </c>
      <c r="G60" s="838">
        <v>759.6</v>
      </c>
      <c r="H60" s="836">
        <f t="shared" si="2"/>
        <v>1055</v>
      </c>
      <c r="I60" s="882">
        <f t="shared" si="3"/>
        <v>72</v>
      </c>
    </row>
    <row r="61" spans="1:9" ht="18.75" customHeight="1">
      <c r="A61" s="1103"/>
      <c r="B61" s="1105"/>
      <c r="C61" s="829" t="s">
        <v>116</v>
      </c>
      <c r="D61" s="847">
        <v>550</v>
      </c>
      <c r="E61" s="837">
        <v>228</v>
      </c>
      <c r="F61" s="838">
        <v>260</v>
      </c>
      <c r="G61" s="838">
        <v>62</v>
      </c>
      <c r="H61" s="836">
        <f t="shared" si="2"/>
        <v>322</v>
      </c>
      <c r="I61" s="882">
        <f t="shared" si="3"/>
        <v>19.254658385093169</v>
      </c>
    </row>
    <row r="62" spans="1:9" ht="18.75" customHeight="1">
      <c r="A62" s="1103"/>
      <c r="B62" s="1105"/>
      <c r="C62" s="829" t="s">
        <v>47</v>
      </c>
      <c r="D62" s="847">
        <v>2350</v>
      </c>
      <c r="E62" s="837">
        <v>973</v>
      </c>
      <c r="F62" s="838">
        <f>F60+F61</f>
        <v>555.4</v>
      </c>
      <c r="G62" s="838">
        <f>G60+G61</f>
        <v>821.6</v>
      </c>
      <c r="H62" s="836">
        <f t="shared" si="2"/>
        <v>1377</v>
      </c>
      <c r="I62" s="882">
        <f t="shared" si="3"/>
        <v>59.665940450254176</v>
      </c>
    </row>
    <row r="63" spans="1:9" ht="18.75" customHeight="1">
      <c r="A63" s="1103"/>
      <c r="B63" s="1105" t="s">
        <v>294</v>
      </c>
      <c r="C63" s="829" t="s">
        <v>115</v>
      </c>
      <c r="D63" s="847">
        <v>1450</v>
      </c>
      <c r="E63" s="837">
        <v>220</v>
      </c>
      <c r="F63" s="838">
        <v>602</v>
      </c>
      <c r="G63" s="838">
        <v>628</v>
      </c>
      <c r="H63" s="836">
        <f t="shared" si="2"/>
        <v>1230</v>
      </c>
      <c r="I63" s="882">
        <f t="shared" si="3"/>
        <v>51.056910569105696</v>
      </c>
    </row>
    <row r="64" spans="1:9" ht="18.75" customHeight="1">
      <c r="A64" s="1103"/>
      <c r="B64" s="1105"/>
      <c r="C64" s="829" t="s">
        <v>116</v>
      </c>
      <c r="D64" s="847">
        <v>500</v>
      </c>
      <c r="E64" s="837">
        <v>345</v>
      </c>
      <c r="F64" s="838">
        <v>40</v>
      </c>
      <c r="G64" s="838">
        <v>115</v>
      </c>
      <c r="H64" s="836">
        <f t="shared" si="2"/>
        <v>155</v>
      </c>
      <c r="I64" s="882">
        <f t="shared" si="3"/>
        <v>74.193548387096769</v>
      </c>
    </row>
    <row r="65" spans="1:9" ht="18.75" customHeight="1">
      <c r="A65" s="1103"/>
      <c r="B65" s="1105"/>
      <c r="C65" s="829" t="s">
        <v>310</v>
      </c>
      <c r="D65" s="847">
        <v>1050</v>
      </c>
      <c r="E65" s="837">
        <v>15</v>
      </c>
      <c r="F65" s="838">
        <v>300</v>
      </c>
      <c r="G65" s="838">
        <v>735</v>
      </c>
      <c r="H65" s="836">
        <f t="shared" si="2"/>
        <v>1035</v>
      </c>
      <c r="I65" s="882">
        <f t="shared" si="3"/>
        <v>71.014492753623188</v>
      </c>
    </row>
    <row r="66" spans="1:9" ht="18.75" customHeight="1">
      <c r="A66" s="1103"/>
      <c r="B66" s="1105"/>
      <c r="C66" s="829" t="s">
        <v>47</v>
      </c>
      <c r="D66" s="847">
        <v>3000</v>
      </c>
      <c r="E66" s="837">
        <v>580</v>
      </c>
      <c r="F66" s="838">
        <f>F63+F64+F65</f>
        <v>942</v>
      </c>
      <c r="G66" s="838">
        <f>G63+G64+G65</f>
        <v>1478</v>
      </c>
      <c r="H66" s="836">
        <f t="shared" si="2"/>
        <v>2420</v>
      </c>
      <c r="I66" s="882">
        <f t="shared" si="3"/>
        <v>61.074380165289256</v>
      </c>
    </row>
    <row r="67" spans="1:9" ht="18.75" customHeight="1">
      <c r="A67" s="1103"/>
      <c r="B67" s="1106" t="s">
        <v>653</v>
      </c>
      <c r="C67" s="829" t="s">
        <v>116</v>
      </c>
      <c r="D67" s="847">
        <v>1200</v>
      </c>
      <c r="E67" s="837">
        <v>637</v>
      </c>
      <c r="F67" s="838">
        <v>118</v>
      </c>
      <c r="G67" s="838">
        <v>445</v>
      </c>
      <c r="H67" s="836">
        <f t="shared" si="2"/>
        <v>563</v>
      </c>
      <c r="I67" s="882">
        <f t="shared" si="3"/>
        <v>79.040852575488458</v>
      </c>
    </row>
    <row r="68" spans="1:9" ht="18.75" customHeight="1">
      <c r="A68" s="1103"/>
      <c r="B68" s="1106"/>
      <c r="C68" s="828" t="s">
        <v>310</v>
      </c>
      <c r="D68" s="847">
        <v>1800</v>
      </c>
      <c r="E68" s="837">
        <v>600</v>
      </c>
      <c r="F68" s="838">
        <v>264</v>
      </c>
      <c r="G68" s="838">
        <v>936</v>
      </c>
      <c r="H68" s="836">
        <f t="shared" si="2"/>
        <v>1200</v>
      </c>
      <c r="I68" s="882">
        <f t="shared" si="3"/>
        <v>78</v>
      </c>
    </row>
    <row r="69" spans="1:9" ht="18.75" customHeight="1">
      <c r="A69" s="1103"/>
      <c r="B69" s="1106"/>
      <c r="C69" s="830" t="s">
        <v>47</v>
      </c>
      <c r="D69" s="847">
        <v>3000</v>
      </c>
      <c r="E69" s="837">
        <v>1237</v>
      </c>
      <c r="F69" s="838">
        <f>F67+F68</f>
        <v>382</v>
      </c>
      <c r="G69" s="838">
        <f>G67+G68</f>
        <v>1381</v>
      </c>
      <c r="H69" s="836">
        <f t="shared" si="2"/>
        <v>1763</v>
      </c>
      <c r="I69" s="882">
        <f t="shared" si="3"/>
        <v>78.332387975042536</v>
      </c>
    </row>
    <row r="70" spans="1:9" ht="18.75" customHeight="1">
      <c r="A70" s="1103"/>
      <c r="B70" s="1108" t="s">
        <v>654</v>
      </c>
      <c r="C70" s="1108"/>
      <c r="D70" s="861">
        <v>8350</v>
      </c>
      <c r="E70" s="862">
        <v>2790</v>
      </c>
      <c r="F70" s="863">
        <f>F62+F66+F69</f>
        <v>1879.4</v>
      </c>
      <c r="G70" s="863">
        <f>G62+G66+G69</f>
        <v>3680.6</v>
      </c>
      <c r="H70" s="863">
        <f t="shared" si="2"/>
        <v>5560</v>
      </c>
      <c r="I70" s="883">
        <f t="shared" si="3"/>
        <v>66.197841726618705</v>
      </c>
    </row>
    <row r="71" spans="1:9" ht="18.75" customHeight="1">
      <c r="A71" s="1103" t="s">
        <v>24</v>
      </c>
      <c r="B71" s="1105" t="s">
        <v>230</v>
      </c>
      <c r="C71" s="829" t="s">
        <v>115</v>
      </c>
      <c r="D71" s="847">
        <v>1800</v>
      </c>
      <c r="E71" s="837">
        <v>745</v>
      </c>
      <c r="F71" s="838">
        <v>348</v>
      </c>
      <c r="G71" s="838">
        <v>707</v>
      </c>
      <c r="H71" s="836">
        <f t="shared" si="2"/>
        <v>1055</v>
      </c>
      <c r="I71" s="882">
        <f t="shared" si="3"/>
        <v>67.014218009478682</v>
      </c>
    </row>
    <row r="72" spans="1:9" ht="18.75" customHeight="1">
      <c r="A72" s="1103"/>
      <c r="B72" s="1105"/>
      <c r="C72" s="829" t="s">
        <v>116</v>
      </c>
      <c r="D72" s="847">
        <v>550</v>
      </c>
      <c r="E72" s="837">
        <v>228</v>
      </c>
      <c r="F72" s="838">
        <v>280</v>
      </c>
      <c r="G72" s="838">
        <v>42</v>
      </c>
      <c r="H72" s="836">
        <f t="shared" si="2"/>
        <v>322</v>
      </c>
      <c r="I72" s="882">
        <f t="shared" si="3"/>
        <v>13.043478260869565</v>
      </c>
    </row>
    <row r="73" spans="1:9" ht="18.75" customHeight="1">
      <c r="A73" s="1103"/>
      <c r="B73" s="1105"/>
      <c r="C73" s="829" t="s">
        <v>47</v>
      </c>
      <c r="D73" s="847">
        <v>2350</v>
      </c>
      <c r="E73" s="837">
        <v>973</v>
      </c>
      <c r="F73" s="838">
        <f>F71+F72</f>
        <v>628</v>
      </c>
      <c r="G73" s="838">
        <f>G71+G72</f>
        <v>749</v>
      </c>
      <c r="H73" s="836">
        <f t="shared" si="2"/>
        <v>1377</v>
      </c>
      <c r="I73" s="882">
        <f t="shared" si="3"/>
        <v>54.39360929557008</v>
      </c>
    </row>
    <row r="74" spans="1:9" ht="18.75" customHeight="1">
      <c r="A74" s="1103"/>
      <c r="B74" s="1105" t="s">
        <v>294</v>
      </c>
      <c r="C74" s="829" t="s">
        <v>115</v>
      </c>
      <c r="D74" s="847">
        <v>1450</v>
      </c>
      <c r="E74" s="837">
        <v>220</v>
      </c>
      <c r="F74" s="838">
        <v>676.4</v>
      </c>
      <c r="G74" s="838">
        <v>553.6</v>
      </c>
      <c r="H74" s="836">
        <f t="shared" si="2"/>
        <v>1230</v>
      </c>
      <c r="I74" s="882">
        <f t="shared" si="3"/>
        <v>45.008130081300813</v>
      </c>
    </row>
    <row r="75" spans="1:9" ht="18.75" customHeight="1">
      <c r="A75" s="1103"/>
      <c r="B75" s="1105"/>
      <c r="C75" s="829" t="s">
        <v>116</v>
      </c>
      <c r="D75" s="847">
        <v>500</v>
      </c>
      <c r="E75" s="837">
        <v>345</v>
      </c>
      <c r="F75" s="838">
        <v>62</v>
      </c>
      <c r="G75" s="838">
        <v>93</v>
      </c>
      <c r="H75" s="836">
        <f t="shared" si="2"/>
        <v>155</v>
      </c>
      <c r="I75" s="882">
        <f t="shared" si="3"/>
        <v>60</v>
      </c>
    </row>
    <row r="76" spans="1:9" ht="18.75" customHeight="1">
      <c r="A76" s="1103"/>
      <c r="B76" s="1105"/>
      <c r="C76" s="829" t="s">
        <v>310</v>
      </c>
      <c r="D76" s="847">
        <v>1050</v>
      </c>
      <c r="E76" s="837">
        <v>15</v>
      </c>
      <c r="F76" s="838">
        <v>435</v>
      </c>
      <c r="G76" s="838">
        <v>600</v>
      </c>
      <c r="H76" s="836">
        <f t="shared" si="2"/>
        <v>1035</v>
      </c>
      <c r="I76" s="882">
        <f t="shared" si="3"/>
        <v>57.971014492753625</v>
      </c>
    </row>
    <row r="77" spans="1:9" ht="18.75" customHeight="1">
      <c r="A77" s="1103"/>
      <c r="B77" s="1105"/>
      <c r="C77" s="829" t="s">
        <v>47</v>
      </c>
      <c r="D77" s="847">
        <v>3000</v>
      </c>
      <c r="E77" s="837">
        <v>580</v>
      </c>
      <c r="F77" s="838">
        <f>F74+F75+F76</f>
        <v>1173.4000000000001</v>
      </c>
      <c r="G77" s="838">
        <f>G74+G75+G76</f>
        <v>1246.5999999999999</v>
      </c>
      <c r="H77" s="836">
        <f t="shared" si="2"/>
        <v>2420</v>
      </c>
      <c r="I77" s="882">
        <f t="shared" si="3"/>
        <v>51.512396694214871</v>
      </c>
    </row>
    <row r="78" spans="1:9" ht="18.75" customHeight="1">
      <c r="A78" s="1103"/>
      <c r="B78" s="1106" t="s">
        <v>653</v>
      </c>
      <c r="C78" s="829" t="s">
        <v>116</v>
      </c>
      <c r="D78" s="847">
        <v>1200</v>
      </c>
      <c r="E78" s="837">
        <v>637</v>
      </c>
      <c r="F78" s="838">
        <v>145</v>
      </c>
      <c r="G78" s="838">
        <v>418</v>
      </c>
      <c r="H78" s="836">
        <f t="shared" si="2"/>
        <v>563</v>
      </c>
      <c r="I78" s="882">
        <f t="shared" si="3"/>
        <v>74.245115452930733</v>
      </c>
    </row>
    <row r="79" spans="1:9" ht="18.75" customHeight="1">
      <c r="A79" s="1103"/>
      <c r="B79" s="1106"/>
      <c r="C79" s="828" t="s">
        <v>310</v>
      </c>
      <c r="D79" s="847">
        <v>1800</v>
      </c>
      <c r="E79" s="837">
        <v>600</v>
      </c>
      <c r="F79" s="838">
        <v>444</v>
      </c>
      <c r="G79" s="838">
        <v>756</v>
      </c>
      <c r="H79" s="836">
        <f t="shared" si="2"/>
        <v>1200</v>
      </c>
      <c r="I79" s="882">
        <f t="shared" si="3"/>
        <v>63</v>
      </c>
    </row>
    <row r="80" spans="1:9" ht="18.75" customHeight="1">
      <c r="A80" s="1103"/>
      <c r="B80" s="1106"/>
      <c r="C80" s="830" t="s">
        <v>47</v>
      </c>
      <c r="D80" s="847">
        <v>3000</v>
      </c>
      <c r="E80" s="837">
        <v>1237</v>
      </c>
      <c r="F80" s="838">
        <f>F78+F79</f>
        <v>589</v>
      </c>
      <c r="G80" s="838">
        <f>G78+G79</f>
        <v>1174</v>
      </c>
      <c r="H80" s="836">
        <f t="shared" si="2"/>
        <v>1763</v>
      </c>
      <c r="I80" s="882">
        <f t="shared" si="3"/>
        <v>66.591038003403298</v>
      </c>
    </row>
    <row r="81" spans="1:9" ht="18.75" customHeight="1">
      <c r="A81" s="1104"/>
      <c r="B81" s="1107" t="s">
        <v>654</v>
      </c>
      <c r="C81" s="1107"/>
      <c r="D81" s="864">
        <v>8350</v>
      </c>
      <c r="E81" s="865">
        <v>2790</v>
      </c>
      <c r="F81" s="866">
        <f>F73+F77+F80</f>
        <v>2390.4</v>
      </c>
      <c r="G81" s="866">
        <f>G73+G77+G80</f>
        <v>3169.6</v>
      </c>
      <c r="H81" s="866">
        <f t="shared" si="2"/>
        <v>5560</v>
      </c>
      <c r="I81" s="879">
        <f t="shared" si="3"/>
        <v>57.007194244604321</v>
      </c>
    </row>
    <row r="82" spans="1:9" ht="18.75" customHeight="1">
      <c r="A82" s="699"/>
      <c r="B82" s="841"/>
      <c r="C82" s="841"/>
      <c r="D82" s="842"/>
      <c r="E82" s="842"/>
      <c r="F82" s="843"/>
      <c r="G82" s="843"/>
      <c r="H82" s="843"/>
      <c r="I82" s="843" t="s">
        <v>121</v>
      </c>
    </row>
    <row r="83" spans="1:9" ht="17.25" customHeight="1">
      <c r="A83" s="1101" t="s">
        <v>7</v>
      </c>
      <c r="B83" s="1101"/>
      <c r="C83" s="1101"/>
      <c r="D83" s="1101"/>
      <c r="E83" s="1101"/>
      <c r="F83" s="1101"/>
      <c r="G83" s="843"/>
      <c r="H83" s="843"/>
      <c r="I83" s="843"/>
    </row>
    <row r="84" spans="1:9" ht="18.75" customHeight="1">
      <c r="A84" s="699"/>
      <c r="B84" s="841"/>
      <c r="C84" s="841"/>
      <c r="D84" s="842"/>
      <c r="E84" s="842"/>
      <c r="F84" s="843"/>
      <c r="G84" s="843"/>
      <c r="H84" s="843"/>
      <c r="I84" s="843"/>
    </row>
    <row r="85" spans="1:9" ht="18.75" customHeight="1">
      <c r="A85" s="699"/>
      <c r="B85" s="841"/>
      <c r="C85" s="841"/>
      <c r="D85" s="842"/>
      <c r="E85" s="842"/>
      <c r="F85" s="843"/>
      <c r="G85" s="843"/>
      <c r="H85" s="843"/>
      <c r="I85" s="843"/>
    </row>
    <row r="86" spans="1:9" ht="18.75" customHeight="1">
      <c r="A86" s="699"/>
      <c r="B86" s="841"/>
      <c r="C86" s="841"/>
      <c r="D86" s="842"/>
      <c r="E86" s="842"/>
      <c r="F86" s="843"/>
      <c r="G86" s="843"/>
      <c r="H86" s="843"/>
      <c r="I86" s="843"/>
    </row>
    <row r="87" spans="1:9" ht="18.75" customHeight="1">
      <c r="A87" s="1102" t="s">
        <v>336</v>
      </c>
      <c r="B87" s="1102"/>
      <c r="C87" s="1102"/>
      <c r="D87" s="1102"/>
      <c r="E87" s="1102"/>
      <c r="F87" s="1102"/>
      <c r="G87" s="1102"/>
      <c r="H87" s="920"/>
      <c r="I87" s="921">
        <v>59</v>
      </c>
    </row>
    <row r="88" spans="1:9" ht="18.75" customHeight="1">
      <c r="A88" s="972" t="s">
        <v>746</v>
      </c>
      <c r="B88" s="972"/>
      <c r="C88" s="972"/>
      <c r="D88" s="972"/>
      <c r="E88" s="972"/>
      <c r="F88" s="972"/>
      <c r="G88" s="972"/>
      <c r="H88" s="972"/>
      <c r="I88" s="972"/>
    </row>
    <row r="89" spans="1:9" ht="18.75" customHeight="1" thickBot="1">
      <c r="A89" s="1111" t="s">
        <v>667</v>
      </c>
      <c r="B89" s="1111"/>
      <c r="C89" s="1111"/>
      <c r="D89" s="1111"/>
      <c r="E89" s="1111"/>
      <c r="F89" s="1111"/>
      <c r="G89" s="1111"/>
      <c r="H89" s="1111"/>
      <c r="I89" s="1111"/>
    </row>
    <row r="90" spans="1:9" ht="27.75" customHeight="1" thickTop="1">
      <c r="A90" s="989" t="s">
        <v>650</v>
      </c>
      <c r="B90" s="989" t="s">
        <v>651</v>
      </c>
      <c r="C90" s="989" t="s">
        <v>652</v>
      </c>
      <c r="D90" s="989" t="s">
        <v>661</v>
      </c>
      <c r="E90" s="989" t="s">
        <v>660</v>
      </c>
      <c r="F90" s="988" t="s">
        <v>662</v>
      </c>
      <c r="G90" s="988"/>
      <c r="H90" s="1112" t="s">
        <v>657</v>
      </c>
      <c r="I90" s="989" t="s">
        <v>655</v>
      </c>
    </row>
    <row r="91" spans="1:9" ht="27.75" customHeight="1">
      <c r="A91" s="990"/>
      <c r="B91" s="990"/>
      <c r="C91" s="990"/>
      <c r="D91" s="990"/>
      <c r="E91" s="990"/>
      <c r="F91" s="259" t="s">
        <v>659</v>
      </c>
      <c r="G91" s="259" t="s">
        <v>658</v>
      </c>
      <c r="H91" s="1113"/>
      <c r="I91" s="990"/>
    </row>
    <row r="92" spans="1:9" ht="18.75" customHeight="1">
      <c r="A92" s="1109" t="s">
        <v>25</v>
      </c>
      <c r="B92" s="1110" t="s">
        <v>230</v>
      </c>
      <c r="C92" s="831" t="s">
        <v>115</v>
      </c>
      <c r="D92" s="846">
        <v>1800</v>
      </c>
      <c r="E92" s="835">
        <v>745</v>
      </c>
      <c r="F92" s="836">
        <v>390</v>
      </c>
      <c r="G92" s="836">
        <v>665</v>
      </c>
      <c r="H92" s="836">
        <f>F92+G92</f>
        <v>1055</v>
      </c>
      <c r="I92" s="882">
        <f>G92/H92*100</f>
        <v>63.033175355450233</v>
      </c>
    </row>
    <row r="93" spans="1:9" ht="18.75" customHeight="1">
      <c r="A93" s="1103"/>
      <c r="B93" s="1105"/>
      <c r="C93" s="829" t="s">
        <v>116</v>
      </c>
      <c r="D93" s="847">
        <v>550</v>
      </c>
      <c r="E93" s="837">
        <v>228</v>
      </c>
      <c r="F93" s="838">
        <v>313</v>
      </c>
      <c r="G93" s="838">
        <v>9</v>
      </c>
      <c r="H93" s="836">
        <f t="shared" ref="H93:H124" si="4">F93+G93</f>
        <v>322</v>
      </c>
      <c r="I93" s="882">
        <f t="shared" ref="I93:I124" si="5">G93/H93*100</f>
        <v>2.7950310559006213</v>
      </c>
    </row>
    <row r="94" spans="1:9" ht="18.75" customHeight="1">
      <c r="A94" s="1103"/>
      <c r="B94" s="1105"/>
      <c r="C94" s="829" t="s">
        <v>47</v>
      </c>
      <c r="D94" s="847">
        <v>2350</v>
      </c>
      <c r="E94" s="837">
        <v>973</v>
      </c>
      <c r="F94" s="838">
        <f>F92+F93</f>
        <v>703</v>
      </c>
      <c r="G94" s="838">
        <f>G92+G93</f>
        <v>674</v>
      </c>
      <c r="H94" s="836">
        <f t="shared" si="4"/>
        <v>1377</v>
      </c>
      <c r="I94" s="882">
        <f t="shared" si="5"/>
        <v>48.946986201888166</v>
      </c>
    </row>
    <row r="95" spans="1:9" ht="18.75" customHeight="1">
      <c r="A95" s="1103"/>
      <c r="B95" s="1105" t="s">
        <v>294</v>
      </c>
      <c r="C95" s="829" t="s">
        <v>115</v>
      </c>
      <c r="D95" s="847">
        <v>1450</v>
      </c>
      <c r="E95" s="837">
        <v>220</v>
      </c>
      <c r="F95" s="838">
        <v>702</v>
      </c>
      <c r="G95" s="838">
        <v>528</v>
      </c>
      <c r="H95" s="836">
        <f t="shared" si="4"/>
        <v>1230</v>
      </c>
      <c r="I95" s="882">
        <f t="shared" si="5"/>
        <v>42.926829268292686</v>
      </c>
    </row>
    <row r="96" spans="1:9" ht="18.75" customHeight="1">
      <c r="A96" s="1103"/>
      <c r="B96" s="1105"/>
      <c r="C96" s="829" t="s">
        <v>116</v>
      </c>
      <c r="D96" s="847">
        <v>500</v>
      </c>
      <c r="E96" s="837">
        <v>345</v>
      </c>
      <c r="F96" s="838">
        <v>65</v>
      </c>
      <c r="G96" s="838">
        <v>90</v>
      </c>
      <c r="H96" s="836">
        <f t="shared" si="4"/>
        <v>155</v>
      </c>
      <c r="I96" s="882">
        <f t="shared" si="5"/>
        <v>58.064516129032263</v>
      </c>
    </row>
    <row r="97" spans="1:9" ht="18.75" customHeight="1">
      <c r="A97" s="1103"/>
      <c r="B97" s="1105"/>
      <c r="C97" s="829" t="s">
        <v>310</v>
      </c>
      <c r="D97" s="847">
        <v>1050</v>
      </c>
      <c r="E97" s="837">
        <v>15</v>
      </c>
      <c r="F97" s="838">
        <v>465</v>
      </c>
      <c r="G97" s="838">
        <v>570</v>
      </c>
      <c r="H97" s="836">
        <f t="shared" si="4"/>
        <v>1035</v>
      </c>
      <c r="I97" s="882">
        <f t="shared" si="5"/>
        <v>55.072463768115945</v>
      </c>
    </row>
    <row r="98" spans="1:9" ht="18.75" customHeight="1">
      <c r="A98" s="1103"/>
      <c r="B98" s="1105"/>
      <c r="C98" s="829" t="s">
        <v>47</v>
      </c>
      <c r="D98" s="847">
        <v>3000</v>
      </c>
      <c r="E98" s="837">
        <v>580</v>
      </c>
      <c r="F98" s="838">
        <f>F95+F96+F97</f>
        <v>1232</v>
      </c>
      <c r="G98" s="838">
        <f>G95+G96+G97</f>
        <v>1188</v>
      </c>
      <c r="H98" s="836">
        <f t="shared" si="4"/>
        <v>2420</v>
      </c>
      <c r="I98" s="882">
        <f t="shared" si="5"/>
        <v>49.090909090909093</v>
      </c>
    </row>
    <row r="99" spans="1:9" ht="18.75" customHeight="1">
      <c r="A99" s="1103"/>
      <c r="B99" s="1106" t="s">
        <v>653</v>
      </c>
      <c r="C99" s="829" t="s">
        <v>116</v>
      </c>
      <c r="D99" s="847">
        <v>1200</v>
      </c>
      <c r="E99" s="837">
        <v>637</v>
      </c>
      <c r="F99" s="838">
        <v>157</v>
      </c>
      <c r="G99" s="838">
        <v>406</v>
      </c>
      <c r="H99" s="836">
        <f t="shared" si="4"/>
        <v>563</v>
      </c>
      <c r="I99" s="882">
        <f t="shared" si="5"/>
        <v>72.113676731793959</v>
      </c>
    </row>
    <row r="100" spans="1:9" ht="18.75" customHeight="1">
      <c r="A100" s="1103"/>
      <c r="B100" s="1106"/>
      <c r="C100" s="828" t="s">
        <v>310</v>
      </c>
      <c r="D100" s="847">
        <v>1800</v>
      </c>
      <c r="E100" s="837">
        <v>600</v>
      </c>
      <c r="F100" s="838">
        <v>456</v>
      </c>
      <c r="G100" s="838">
        <v>744</v>
      </c>
      <c r="H100" s="836">
        <f t="shared" si="4"/>
        <v>1200</v>
      </c>
      <c r="I100" s="882">
        <f t="shared" si="5"/>
        <v>62</v>
      </c>
    </row>
    <row r="101" spans="1:9" ht="18.75" customHeight="1">
      <c r="A101" s="1103"/>
      <c r="B101" s="1106"/>
      <c r="C101" s="830" t="s">
        <v>47</v>
      </c>
      <c r="D101" s="847">
        <v>3000</v>
      </c>
      <c r="E101" s="837">
        <v>1237</v>
      </c>
      <c r="F101" s="838">
        <f>F99+F100</f>
        <v>613</v>
      </c>
      <c r="G101" s="838">
        <f>G99+G100</f>
        <v>1150</v>
      </c>
      <c r="H101" s="836">
        <f t="shared" si="4"/>
        <v>1763</v>
      </c>
      <c r="I101" s="882">
        <f t="shared" si="5"/>
        <v>65.229722064662511</v>
      </c>
    </row>
    <row r="102" spans="1:9" ht="18.75" customHeight="1">
      <c r="A102" s="1103"/>
      <c r="B102" s="1108" t="s">
        <v>654</v>
      </c>
      <c r="C102" s="1108"/>
      <c r="D102" s="861">
        <v>8350</v>
      </c>
      <c r="E102" s="862">
        <v>2790</v>
      </c>
      <c r="F102" s="863">
        <f>F94+F98+F101</f>
        <v>2548</v>
      </c>
      <c r="G102" s="863">
        <f>G94+G98+G101</f>
        <v>3012</v>
      </c>
      <c r="H102" s="863">
        <f t="shared" si="4"/>
        <v>5560</v>
      </c>
      <c r="I102" s="883">
        <f t="shared" si="5"/>
        <v>54.172661870503603</v>
      </c>
    </row>
    <row r="103" spans="1:9" ht="18.75" customHeight="1">
      <c r="A103" s="1103" t="s">
        <v>41</v>
      </c>
      <c r="B103" s="1105" t="s">
        <v>230</v>
      </c>
      <c r="C103" s="829" t="s">
        <v>115</v>
      </c>
      <c r="D103" s="847">
        <v>1800</v>
      </c>
      <c r="E103" s="837">
        <v>745</v>
      </c>
      <c r="F103" s="838">
        <v>589</v>
      </c>
      <c r="G103" s="838">
        <v>466</v>
      </c>
      <c r="H103" s="836">
        <f t="shared" si="4"/>
        <v>1055</v>
      </c>
      <c r="I103" s="882">
        <f t="shared" si="5"/>
        <v>44.170616113744074</v>
      </c>
    </row>
    <row r="104" spans="1:9" ht="18.75" customHeight="1">
      <c r="A104" s="1103"/>
      <c r="B104" s="1105"/>
      <c r="C104" s="829" t="s">
        <v>116</v>
      </c>
      <c r="D104" s="847">
        <v>550</v>
      </c>
      <c r="E104" s="837">
        <v>228</v>
      </c>
      <c r="F104" s="838">
        <v>318</v>
      </c>
      <c r="G104" s="838">
        <v>4</v>
      </c>
      <c r="H104" s="836">
        <f t="shared" si="4"/>
        <v>322</v>
      </c>
      <c r="I104" s="882">
        <f t="shared" si="5"/>
        <v>1.2422360248447204</v>
      </c>
    </row>
    <row r="105" spans="1:9" ht="18.75" customHeight="1">
      <c r="A105" s="1103"/>
      <c r="B105" s="1105"/>
      <c r="C105" s="829" t="s">
        <v>47</v>
      </c>
      <c r="D105" s="847">
        <v>2350</v>
      </c>
      <c r="E105" s="837">
        <v>973</v>
      </c>
      <c r="F105" s="838">
        <f>F103+F104</f>
        <v>907</v>
      </c>
      <c r="G105" s="838">
        <f>G103+G104</f>
        <v>470</v>
      </c>
      <c r="H105" s="836">
        <f t="shared" si="4"/>
        <v>1377</v>
      </c>
      <c r="I105" s="882">
        <f t="shared" si="5"/>
        <v>34.132171387073349</v>
      </c>
    </row>
    <row r="106" spans="1:9" ht="18.75" customHeight="1">
      <c r="A106" s="1103"/>
      <c r="B106" s="1105" t="s">
        <v>294</v>
      </c>
      <c r="C106" s="829" t="s">
        <v>115</v>
      </c>
      <c r="D106" s="847">
        <v>1450</v>
      </c>
      <c r="E106" s="837">
        <v>220</v>
      </c>
      <c r="F106" s="838">
        <v>762</v>
      </c>
      <c r="G106" s="838">
        <v>468</v>
      </c>
      <c r="H106" s="836">
        <f t="shared" si="4"/>
        <v>1230</v>
      </c>
      <c r="I106" s="882">
        <f t="shared" si="5"/>
        <v>38.048780487804876</v>
      </c>
    </row>
    <row r="107" spans="1:9" ht="18.75" customHeight="1">
      <c r="A107" s="1103"/>
      <c r="B107" s="1105"/>
      <c r="C107" s="829" t="s">
        <v>116</v>
      </c>
      <c r="D107" s="847">
        <v>500</v>
      </c>
      <c r="E107" s="837">
        <v>345</v>
      </c>
      <c r="F107" s="838">
        <v>69</v>
      </c>
      <c r="G107" s="838">
        <v>86</v>
      </c>
      <c r="H107" s="836">
        <f t="shared" si="4"/>
        <v>155</v>
      </c>
      <c r="I107" s="882">
        <f t="shared" si="5"/>
        <v>55.483870967741936</v>
      </c>
    </row>
    <row r="108" spans="1:9" ht="18.75" customHeight="1">
      <c r="A108" s="1103"/>
      <c r="B108" s="1105"/>
      <c r="C108" s="829" t="s">
        <v>310</v>
      </c>
      <c r="D108" s="847">
        <v>1050</v>
      </c>
      <c r="E108" s="837">
        <v>15</v>
      </c>
      <c r="F108" s="838">
        <v>486</v>
      </c>
      <c r="G108" s="838">
        <v>549</v>
      </c>
      <c r="H108" s="836">
        <f t="shared" si="4"/>
        <v>1035</v>
      </c>
      <c r="I108" s="882">
        <f t="shared" si="5"/>
        <v>53.04347826086957</v>
      </c>
    </row>
    <row r="109" spans="1:9" ht="18.75" customHeight="1">
      <c r="A109" s="1103"/>
      <c r="B109" s="1105"/>
      <c r="C109" s="829" t="s">
        <v>47</v>
      </c>
      <c r="D109" s="847">
        <v>3000</v>
      </c>
      <c r="E109" s="837">
        <v>580</v>
      </c>
      <c r="F109" s="838">
        <f>F106+F107+F108</f>
        <v>1317</v>
      </c>
      <c r="G109" s="838">
        <f>G106+G107+G108</f>
        <v>1103</v>
      </c>
      <c r="H109" s="836">
        <f t="shared" si="4"/>
        <v>2420</v>
      </c>
      <c r="I109" s="882">
        <f t="shared" si="5"/>
        <v>45.578512396694215</v>
      </c>
    </row>
    <row r="110" spans="1:9" ht="18.75" customHeight="1">
      <c r="A110" s="1103"/>
      <c r="B110" s="1106" t="s">
        <v>653</v>
      </c>
      <c r="C110" s="829" t="s">
        <v>116</v>
      </c>
      <c r="D110" s="847">
        <v>1200</v>
      </c>
      <c r="E110" s="837">
        <v>637</v>
      </c>
      <c r="F110" s="838">
        <v>236</v>
      </c>
      <c r="G110" s="838">
        <v>327</v>
      </c>
      <c r="H110" s="836">
        <f t="shared" si="4"/>
        <v>563</v>
      </c>
      <c r="I110" s="882">
        <f t="shared" si="5"/>
        <v>58.081705150976916</v>
      </c>
    </row>
    <row r="111" spans="1:9" ht="18.75" customHeight="1">
      <c r="A111" s="1103"/>
      <c r="B111" s="1106"/>
      <c r="C111" s="828" t="s">
        <v>310</v>
      </c>
      <c r="D111" s="847">
        <v>1800</v>
      </c>
      <c r="E111" s="837">
        <v>600</v>
      </c>
      <c r="F111" s="838">
        <v>598</v>
      </c>
      <c r="G111" s="838">
        <v>602</v>
      </c>
      <c r="H111" s="836">
        <f t="shared" si="4"/>
        <v>1200</v>
      </c>
      <c r="I111" s="882">
        <f t="shared" si="5"/>
        <v>50.166666666666671</v>
      </c>
    </row>
    <row r="112" spans="1:9" ht="18.75" customHeight="1">
      <c r="A112" s="1103"/>
      <c r="B112" s="1106"/>
      <c r="C112" s="830" t="s">
        <v>47</v>
      </c>
      <c r="D112" s="847">
        <v>3000</v>
      </c>
      <c r="E112" s="837">
        <v>1237</v>
      </c>
      <c r="F112" s="838">
        <f>F110+F111</f>
        <v>834</v>
      </c>
      <c r="G112" s="838">
        <f>G110+G111</f>
        <v>929</v>
      </c>
      <c r="H112" s="836">
        <f t="shared" si="4"/>
        <v>1763</v>
      </c>
      <c r="I112" s="882">
        <f t="shared" si="5"/>
        <v>52.694271128757798</v>
      </c>
    </row>
    <row r="113" spans="1:9" ht="18.75" customHeight="1">
      <c r="A113" s="1103"/>
      <c r="B113" s="1108" t="s">
        <v>654</v>
      </c>
      <c r="C113" s="1108"/>
      <c r="D113" s="861">
        <v>8350</v>
      </c>
      <c r="E113" s="862">
        <v>2790</v>
      </c>
      <c r="F113" s="863">
        <f>F105+F109+F112</f>
        <v>3058</v>
      </c>
      <c r="G113" s="863">
        <f>G105+G109+G112</f>
        <v>2502</v>
      </c>
      <c r="H113" s="863">
        <f t="shared" si="4"/>
        <v>5560</v>
      </c>
      <c r="I113" s="883">
        <f t="shared" si="5"/>
        <v>45</v>
      </c>
    </row>
    <row r="114" spans="1:9" ht="18.75" customHeight="1">
      <c r="A114" s="1103" t="s">
        <v>656</v>
      </c>
      <c r="B114" s="1105" t="s">
        <v>230</v>
      </c>
      <c r="C114" s="829" t="s">
        <v>115</v>
      </c>
      <c r="D114" s="847">
        <v>1800</v>
      </c>
      <c r="E114" s="837">
        <v>745</v>
      </c>
      <c r="F114" s="838">
        <v>645</v>
      </c>
      <c r="G114" s="838">
        <v>410</v>
      </c>
      <c r="H114" s="836">
        <f t="shared" si="4"/>
        <v>1055</v>
      </c>
      <c r="I114" s="882">
        <f t="shared" si="5"/>
        <v>38.862559241706165</v>
      </c>
    </row>
    <row r="115" spans="1:9" ht="18.75" customHeight="1">
      <c r="A115" s="1103"/>
      <c r="B115" s="1105"/>
      <c r="C115" s="829" t="s">
        <v>116</v>
      </c>
      <c r="D115" s="847">
        <v>550</v>
      </c>
      <c r="E115" s="837">
        <v>228</v>
      </c>
      <c r="F115" s="838">
        <v>319</v>
      </c>
      <c r="G115" s="838">
        <v>3</v>
      </c>
      <c r="H115" s="836">
        <f t="shared" si="4"/>
        <v>322</v>
      </c>
      <c r="I115" s="882">
        <f t="shared" si="5"/>
        <v>0.93167701863354035</v>
      </c>
    </row>
    <row r="116" spans="1:9" ht="18.75" customHeight="1">
      <c r="A116" s="1103"/>
      <c r="B116" s="1105"/>
      <c r="C116" s="829" t="s">
        <v>47</v>
      </c>
      <c r="D116" s="847">
        <v>2350</v>
      </c>
      <c r="E116" s="837">
        <v>973</v>
      </c>
      <c r="F116" s="838">
        <f>F114+F115</f>
        <v>964</v>
      </c>
      <c r="G116" s="838">
        <f>G114+G115</f>
        <v>413</v>
      </c>
      <c r="H116" s="836">
        <f t="shared" si="4"/>
        <v>1377</v>
      </c>
      <c r="I116" s="882">
        <f t="shared" si="5"/>
        <v>29.99273783587509</v>
      </c>
    </row>
    <row r="117" spans="1:9" ht="18.75" customHeight="1">
      <c r="A117" s="1103"/>
      <c r="B117" s="1105" t="s">
        <v>294</v>
      </c>
      <c r="C117" s="829" t="s">
        <v>115</v>
      </c>
      <c r="D117" s="847">
        <v>1450</v>
      </c>
      <c r="E117" s="837">
        <v>220</v>
      </c>
      <c r="F117" s="838">
        <v>798.2</v>
      </c>
      <c r="G117" s="838">
        <v>431.8</v>
      </c>
      <c r="H117" s="836">
        <f t="shared" si="4"/>
        <v>1230</v>
      </c>
      <c r="I117" s="882">
        <f t="shared" si="5"/>
        <v>35.105691056910572</v>
      </c>
    </row>
    <row r="118" spans="1:9" ht="18.75" customHeight="1">
      <c r="A118" s="1103"/>
      <c r="B118" s="1105"/>
      <c r="C118" s="829" t="s">
        <v>116</v>
      </c>
      <c r="D118" s="847">
        <v>500</v>
      </c>
      <c r="E118" s="837">
        <v>345</v>
      </c>
      <c r="F118" s="838">
        <v>75.400000000000006</v>
      </c>
      <c r="G118" s="838">
        <v>79.599999999999994</v>
      </c>
      <c r="H118" s="836">
        <f t="shared" si="4"/>
        <v>155</v>
      </c>
      <c r="I118" s="882">
        <f t="shared" si="5"/>
        <v>51.354838709677416</v>
      </c>
    </row>
    <row r="119" spans="1:9" ht="18.75" customHeight="1">
      <c r="A119" s="1103"/>
      <c r="B119" s="1105"/>
      <c r="C119" s="829" t="s">
        <v>310</v>
      </c>
      <c r="D119" s="847">
        <v>1050</v>
      </c>
      <c r="E119" s="837">
        <v>15</v>
      </c>
      <c r="F119" s="838">
        <v>564.5</v>
      </c>
      <c r="G119" s="838">
        <v>470.5</v>
      </c>
      <c r="H119" s="836">
        <f t="shared" si="4"/>
        <v>1035</v>
      </c>
      <c r="I119" s="882">
        <f t="shared" si="5"/>
        <v>45.45893719806763</v>
      </c>
    </row>
    <row r="120" spans="1:9" ht="18.75" customHeight="1">
      <c r="A120" s="1103"/>
      <c r="B120" s="1105"/>
      <c r="C120" s="829" t="s">
        <v>47</v>
      </c>
      <c r="D120" s="847">
        <v>3000</v>
      </c>
      <c r="E120" s="837">
        <v>580</v>
      </c>
      <c r="F120" s="838">
        <f>F117+F118+F119</f>
        <v>1438.1</v>
      </c>
      <c r="G120" s="838">
        <f>G117+G118+G119</f>
        <v>981.9</v>
      </c>
      <c r="H120" s="836">
        <f t="shared" si="4"/>
        <v>2420</v>
      </c>
      <c r="I120" s="882">
        <f t="shared" si="5"/>
        <v>40.574380165289256</v>
      </c>
    </row>
    <row r="121" spans="1:9" ht="18.75" customHeight="1">
      <c r="A121" s="1103"/>
      <c r="B121" s="1106" t="s">
        <v>653</v>
      </c>
      <c r="C121" s="829" t="s">
        <v>116</v>
      </c>
      <c r="D121" s="847">
        <v>1200</v>
      </c>
      <c r="E121" s="837">
        <v>637</v>
      </c>
      <c r="F121" s="838">
        <v>263.89999999999998</v>
      </c>
      <c r="G121" s="838">
        <v>299.10000000000002</v>
      </c>
      <c r="H121" s="836">
        <f t="shared" si="4"/>
        <v>563</v>
      </c>
      <c r="I121" s="882">
        <f t="shared" si="5"/>
        <v>53.126110124333927</v>
      </c>
    </row>
    <row r="122" spans="1:9" ht="18.75" customHeight="1">
      <c r="A122" s="1103"/>
      <c r="B122" s="1106"/>
      <c r="C122" s="828" t="s">
        <v>310</v>
      </c>
      <c r="D122" s="847">
        <v>1800</v>
      </c>
      <c r="E122" s="837">
        <v>600</v>
      </c>
      <c r="F122" s="838">
        <v>690.6</v>
      </c>
      <c r="G122" s="838">
        <v>509.4</v>
      </c>
      <c r="H122" s="836">
        <f t="shared" si="4"/>
        <v>1200</v>
      </c>
      <c r="I122" s="882">
        <f t="shared" si="5"/>
        <v>42.449999999999996</v>
      </c>
    </row>
    <row r="123" spans="1:9" ht="18.75" customHeight="1">
      <c r="A123" s="1103"/>
      <c r="B123" s="1106"/>
      <c r="C123" s="830" t="s">
        <v>47</v>
      </c>
      <c r="D123" s="847">
        <v>3000</v>
      </c>
      <c r="E123" s="837">
        <v>1237</v>
      </c>
      <c r="F123" s="838">
        <f>F121+F122</f>
        <v>954.5</v>
      </c>
      <c r="G123" s="838">
        <f>G121+G122</f>
        <v>808.5</v>
      </c>
      <c r="H123" s="836">
        <f t="shared" si="4"/>
        <v>1763</v>
      </c>
      <c r="I123" s="882">
        <f t="shared" si="5"/>
        <v>45.859330686330118</v>
      </c>
    </row>
    <row r="124" spans="1:9" ht="18.75" customHeight="1">
      <c r="A124" s="1104"/>
      <c r="B124" s="1107" t="s">
        <v>654</v>
      </c>
      <c r="C124" s="1107"/>
      <c r="D124" s="864">
        <v>8350</v>
      </c>
      <c r="E124" s="865">
        <v>2790</v>
      </c>
      <c r="F124" s="866">
        <f>F116+F120+F123</f>
        <v>3356.6</v>
      </c>
      <c r="G124" s="866">
        <f>G116+G120+G123</f>
        <v>2203.4</v>
      </c>
      <c r="H124" s="866">
        <f t="shared" si="4"/>
        <v>5560</v>
      </c>
      <c r="I124" s="879">
        <f t="shared" si="5"/>
        <v>39.629496402877699</v>
      </c>
    </row>
    <row r="125" spans="1:9" ht="18.75" customHeight="1">
      <c r="A125" s="1099"/>
      <c r="B125" s="1099"/>
      <c r="C125" s="1099"/>
      <c r="D125" s="1099"/>
      <c r="E125" s="1099"/>
      <c r="F125" s="1100"/>
      <c r="G125" s="1100"/>
      <c r="H125" s="884"/>
      <c r="I125" s="18"/>
    </row>
    <row r="126" spans="1:9" ht="18.75" customHeight="1">
      <c r="A126" s="1101" t="s">
        <v>7</v>
      </c>
      <c r="B126" s="1101"/>
      <c r="C126" s="1101"/>
      <c r="D126" s="1101"/>
      <c r="E126" s="1101"/>
      <c r="F126" s="1101"/>
      <c r="G126" s="843"/>
      <c r="H126" s="843"/>
      <c r="I126" s="843" t="s">
        <v>121</v>
      </c>
    </row>
    <row r="127" spans="1:9" ht="18.75" customHeight="1">
      <c r="A127" s="18"/>
      <c r="B127" s="18"/>
      <c r="C127" s="18"/>
      <c r="D127" s="18"/>
      <c r="E127" s="18"/>
      <c r="F127" s="18"/>
      <c r="G127" s="18"/>
      <c r="H127" s="884"/>
      <c r="I127" s="18"/>
    </row>
    <row r="128" spans="1:9" ht="18.75" customHeight="1">
      <c r="A128" s="18"/>
      <c r="B128" s="18"/>
      <c r="C128" s="18"/>
      <c r="D128" s="18"/>
      <c r="E128" s="18"/>
      <c r="F128" s="18"/>
      <c r="G128" s="18"/>
      <c r="H128" s="884"/>
      <c r="I128" s="18"/>
    </row>
    <row r="129" spans="1:9" ht="18.75" customHeight="1">
      <c r="A129" s="18"/>
      <c r="B129" s="18"/>
      <c r="C129" s="18"/>
      <c r="D129" s="18"/>
      <c r="E129" s="18"/>
      <c r="F129" s="18"/>
      <c r="G129" s="18"/>
      <c r="H129" s="884"/>
      <c r="I129" s="18"/>
    </row>
    <row r="130" spans="1:9" ht="18.75" customHeight="1">
      <c r="A130" s="1102" t="s">
        <v>336</v>
      </c>
      <c r="B130" s="1102"/>
      <c r="C130" s="1102"/>
      <c r="D130" s="1102"/>
      <c r="E130" s="1102"/>
      <c r="F130" s="1102"/>
      <c r="G130" s="1102"/>
      <c r="H130" s="920"/>
      <c r="I130" s="921">
        <v>60</v>
      </c>
    </row>
    <row r="131" spans="1:9" ht="18.75" customHeight="1">
      <c r="A131" s="972" t="s">
        <v>746</v>
      </c>
      <c r="B131" s="972"/>
      <c r="C131" s="972"/>
      <c r="D131" s="972"/>
      <c r="E131" s="972"/>
      <c r="F131" s="972"/>
      <c r="G131" s="972"/>
      <c r="H131" s="972"/>
      <c r="I131" s="972"/>
    </row>
    <row r="132" spans="1:9" ht="18.75" customHeight="1" thickBot="1">
      <c r="A132" s="1111" t="s">
        <v>667</v>
      </c>
      <c r="B132" s="1111"/>
      <c r="C132" s="1111"/>
      <c r="D132" s="1111"/>
      <c r="E132" s="1111"/>
      <c r="F132" s="1111"/>
      <c r="G132" s="1111"/>
      <c r="H132" s="1111"/>
      <c r="I132" s="1111"/>
    </row>
    <row r="133" spans="1:9" ht="27.75" customHeight="1" thickTop="1">
      <c r="A133" s="989" t="s">
        <v>650</v>
      </c>
      <c r="B133" s="989" t="s">
        <v>651</v>
      </c>
      <c r="C133" s="989" t="s">
        <v>652</v>
      </c>
      <c r="D133" s="989" t="s">
        <v>661</v>
      </c>
      <c r="E133" s="989" t="s">
        <v>660</v>
      </c>
      <c r="F133" s="988" t="s">
        <v>662</v>
      </c>
      <c r="G133" s="988"/>
      <c r="H133" s="1112" t="s">
        <v>657</v>
      </c>
      <c r="I133" s="989" t="s">
        <v>655</v>
      </c>
    </row>
    <row r="134" spans="1:9" ht="27.75" customHeight="1">
      <c r="A134" s="990"/>
      <c r="B134" s="990"/>
      <c r="C134" s="990"/>
      <c r="D134" s="990"/>
      <c r="E134" s="990"/>
      <c r="F134" s="259" t="s">
        <v>659</v>
      </c>
      <c r="G134" s="259" t="s">
        <v>658</v>
      </c>
      <c r="H134" s="1113"/>
      <c r="I134" s="990"/>
    </row>
    <row r="135" spans="1:9" ht="18.75" customHeight="1">
      <c r="A135" s="1109" t="s">
        <v>90</v>
      </c>
      <c r="B135" s="1110" t="s">
        <v>230</v>
      </c>
      <c r="C135" s="831" t="s">
        <v>115</v>
      </c>
      <c r="D135" s="846">
        <v>1800</v>
      </c>
      <c r="E135" s="835">
        <v>745</v>
      </c>
      <c r="F135" s="836">
        <v>661.8</v>
      </c>
      <c r="G135" s="836">
        <v>393.2</v>
      </c>
      <c r="H135" s="836">
        <f>F135+G135</f>
        <v>1055</v>
      </c>
      <c r="I135" s="882">
        <f>G135/H135*100</f>
        <v>37.270142180094787</v>
      </c>
    </row>
    <row r="136" spans="1:9" ht="18.75" customHeight="1">
      <c r="A136" s="1103"/>
      <c r="B136" s="1105"/>
      <c r="C136" s="829" t="s">
        <v>116</v>
      </c>
      <c r="D136" s="847">
        <v>550</v>
      </c>
      <c r="E136" s="837">
        <v>228</v>
      </c>
      <c r="F136" s="838">
        <v>317.3</v>
      </c>
      <c r="G136" s="838">
        <v>4.7</v>
      </c>
      <c r="H136" s="836">
        <f t="shared" ref="H136:H167" si="6">F136+G136</f>
        <v>322</v>
      </c>
      <c r="I136" s="882">
        <f t="shared" ref="I136:I167" si="7">G136/H136*100</f>
        <v>1.4596273291925466</v>
      </c>
    </row>
    <row r="137" spans="1:9" ht="18.75" customHeight="1">
      <c r="A137" s="1103"/>
      <c r="B137" s="1105"/>
      <c r="C137" s="829" t="s">
        <v>47</v>
      </c>
      <c r="D137" s="847">
        <v>2350</v>
      </c>
      <c r="E137" s="837">
        <v>973</v>
      </c>
      <c r="F137" s="838">
        <f>F135+F136</f>
        <v>979.09999999999991</v>
      </c>
      <c r="G137" s="838">
        <f>G135+G136</f>
        <v>397.9</v>
      </c>
      <c r="H137" s="836">
        <f t="shared" si="6"/>
        <v>1377</v>
      </c>
      <c r="I137" s="882">
        <f t="shared" si="7"/>
        <v>28.896151053013796</v>
      </c>
    </row>
    <row r="138" spans="1:9" ht="18.75" customHeight="1">
      <c r="A138" s="1103"/>
      <c r="B138" s="1105" t="s">
        <v>294</v>
      </c>
      <c r="C138" s="829" t="s">
        <v>115</v>
      </c>
      <c r="D138" s="847">
        <v>1450</v>
      </c>
      <c r="E138" s="837">
        <v>220</v>
      </c>
      <c r="F138" s="867">
        <v>752.8</v>
      </c>
      <c r="G138" s="838">
        <v>477.2</v>
      </c>
      <c r="H138" s="836">
        <f t="shared" si="6"/>
        <v>1230</v>
      </c>
      <c r="I138" s="882">
        <f t="shared" si="7"/>
        <v>38.796747967479675</v>
      </c>
    </row>
    <row r="139" spans="1:9" ht="18.75" customHeight="1">
      <c r="A139" s="1103"/>
      <c r="B139" s="1105"/>
      <c r="C139" s="829" t="s">
        <v>116</v>
      </c>
      <c r="D139" s="847">
        <v>500</v>
      </c>
      <c r="E139" s="837">
        <v>345</v>
      </c>
      <c r="F139" s="838">
        <v>99.2</v>
      </c>
      <c r="G139" s="838">
        <v>55.8</v>
      </c>
      <c r="H139" s="836">
        <f t="shared" si="6"/>
        <v>155</v>
      </c>
      <c r="I139" s="882">
        <f t="shared" si="7"/>
        <v>36</v>
      </c>
    </row>
    <row r="140" spans="1:9" ht="18.75" customHeight="1">
      <c r="A140" s="1103"/>
      <c r="B140" s="1105"/>
      <c r="C140" s="829" t="s">
        <v>310</v>
      </c>
      <c r="D140" s="847">
        <v>1050</v>
      </c>
      <c r="E140" s="837">
        <v>15</v>
      </c>
      <c r="F140" s="838">
        <v>642.70000000000005</v>
      </c>
      <c r="G140" s="838">
        <v>392.3</v>
      </c>
      <c r="H140" s="836">
        <f t="shared" si="6"/>
        <v>1035</v>
      </c>
      <c r="I140" s="882">
        <f t="shared" si="7"/>
        <v>37.90338164251208</v>
      </c>
    </row>
    <row r="141" spans="1:9" ht="18.75" customHeight="1">
      <c r="A141" s="1103"/>
      <c r="B141" s="1105"/>
      <c r="C141" s="829" t="s">
        <v>47</v>
      </c>
      <c r="D141" s="847">
        <v>3000</v>
      </c>
      <c r="E141" s="837">
        <v>580</v>
      </c>
      <c r="F141" s="838">
        <f>F138+F139+F140</f>
        <v>1494.7</v>
      </c>
      <c r="G141" s="838">
        <f>G138+G139+G140</f>
        <v>925.3</v>
      </c>
      <c r="H141" s="836">
        <f t="shared" si="6"/>
        <v>2420</v>
      </c>
      <c r="I141" s="882">
        <f t="shared" si="7"/>
        <v>38.235537190082638</v>
      </c>
    </row>
    <row r="142" spans="1:9" ht="18.75" customHeight="1">
      <c r="A142" s="1103"/>
      <c r="B142" s="1106" t="s">
        <v>653</v>
      </c>
      <c r="C142" s="829" t="s">
        <v>116</v>
      </c>
      <c r="D142" s="847">
        <v>1200</v>
      </c>
      <c r="E142" s="837">
        <v>637</v>
      </c>
      <c r="F142" s="838">
        <v>287.10000000000002</v>
      </c>
      <c r="G142" s="838">
        <v>275.89999999999998</v>
      </c>
      <c r="H142" s="836">
        <f t="shared" si="6"/>
        <v>563</v>
      </c>
      <c r="I142" s="882">
        <f t="shared" si="7"/>
        <v>49.00532859680284</v>
      </c>
    </row>
    <row r="143" spans="1:9" ht="18.75" customHeight="1">
      <c r="A143" s="1103"/>
      <c r="B143" s="1106"/>
      <c r="C143" s="828" t="s">
        <v>310</v>
      </c>
      <c r="D143" s="847">
        <v>1800</v>
      </c>
      <c r="E143" s="837">
        <v>600</v>
      </c>
      <c r="F143" s="838">
        <v>704.3</v>
      </c>
      <c r="G143" s="838">
        <v>495.7</v>
      </c>
      <c r="H143" s="836">
        <f t="shared" si="6"/>
        <v>1200</v>
      </c>
      <c r="I143" s="882">
        <f t="shared" si="7"/>
        <v>41.30833333333333</v>
      </c>
    </row>
    <row r="144" spans="1:9" ht="18.75" customHeight="1">
      <c r="A144" s="1103"/>
      <c r="B144" s="1106"/>
      <c r="C144" s="830" t="s">
        <v>47</v>
      </c>
      <c r="D144" s="847">
        <v>3000</v>
      </c>
      <c r="E144" s="837">
        <v>1237</v>
      </c>
      <c r="F144" s="838">
        <f>F142+F143</f>
        <v>991.4</v>
      </c>
      <c r="G144" s="838">
        <f>G142+G143</f>
        <v>771.59999999999991</v>
      </c>
      <c r="H144" s="836">
        <f t="shared" si="6"/>
        <v>1763</v>
      </c>
      <c r="I144" s="882">
        <f t="shared" si="7"/>
        <v>43.766307430516157</v>
      </c>
    </row>
    <row r="145" spans="1:9" ht="18.75" customHeight="1">
      <c r="A145" s="1103"/>
      <c r="B145" s="1108" t="s">
        <v>654</v>
      </c>
      <c r="C145" s="1108"/>
      <c r="D145" s="861">
        <v>8350</v>
      </c>
      <c r="E145" s="862">
        <v>2790</v>
      </c>
      <c r="F145" s="863">
        <f>F137+F141+F144</f>
        <v>3465.2000000000003</v>
      </c>
      <c r="G145" s="863">
        <f>G137+G141+G144</f>
        <v>2094.7999999999997</v>
      </c>
      <c r="H145" s="863">
        <f t="shared" si="6"/>
        <v>5560</v>
      </c>
      <c r="I145" s="883">
        <f t="shared" si="7"/>
        <v>37.676258992805749</v>
      </c>
    </row>
    <row r="146" spans="1:9" ht="18.75" customHeight="1">
      <c r="A146" s="1103" t="s">
        <v>91</v>
      </c>
      <c r="B146" s="1105" t="s">
        <v>230</v>
      </c>
      <c r="C146" s="829" t="s">
        <v>115</v>
      </c>
      <c r="D146" s="847">
        <v>1800</v>
      </c>
      <c r="E146" s="837">
        <v>745</v>
      </c>
      <c r="F146" s="838">
        <v>723</v>
      </c>
      <c r="G146" s="838">
        <v>332</v>
      </c>
      <c r="H146" s="836">
        <f t="shared" si="6"/>
        <v>1055</v>
      </c>
      <c r="I146" s="882">
        <f t="shared" si="7"/>
        <v>31.469194312796205</v>
      </c>
    </row>
    <row r="147" spans="1:9" ht="18.75" customHeight="1">
      <c r="A147" s="1103"/>
      <c r="B147" s="1105"/>
      <c r="C147" s="829" t="s">
        <v>116</v>
      </c>
      <c r="D147" s="847">
        <v>550</v>
      </c>
      <c r="E147" s="837">
        <v>228</v>
      </c>
      <c r="F147" s="838">
        <v>318.8</v>
      </c>
      <c r="G147" s="838">
        <v>3.2</v>
      </c>
      <c r="H147" s="836">
        <f t="shared" si="6"/>
        <v>322</v>
      </c>
      <c r="I147" s="882">
        <f t="shared" si="7"/>
        <v>0.99378881987577639</v>
      </c>
    </row>
    <row r="148" spans="1:9" ht="18.75" customHeight="1">
      <c r="A148" s="1103"/>
      <c r="B148" s="1105"/>
      <c r="C148" s="829" t="s">
        <v>47</v>
      </c>
      <c r="D148" s="847">
        <v>2350</v>
      </c>
      <c r="E148" s="837">
        <v>973</v>
      </c>
      <c r="F148" s="838">
        <f>F146+F147</f>
        <v>1041.8</v>
      </c>
      <c r="G148" s="838">
        <f>G146+G147</f>
        <v>335.2</v>
      </c>
      <c r="H148" s="836">
        <f t="shared" si="6"/>
        <v>1377</v>
      </c>
      <c r="I148" s="882">
        <f t="shared" si="7"/>
        <v>24.342774146695714</v>
      </c>
    </row>
    <row r="149" spans="1:9" ht="18.75" customHeight="1">
      <c r="A149" s="1103"/>
      <c r="B149" s="1105" t="s">
        <v>294</v>
      </c>
      <c r="C149" s="829" t="s">
        <v>115</v>
      </c>
      <c r="D149" s="847">
        <v>1450</v>
      </c>
      <c r="E149" s="837">
        <v>220</v>
      </c>
      <c r="F149" s="838">
        <v>829</v>
      </c>
      <c r="G149" s="838">
        <v>401</v>
      </c>
      <c r="H149" s="836">
        <f t="shared" si="6"/>
        <v>1230</v>
      </c>
      <c r="I149" s="882">
        <f t="shared" si="7"/>
        <v>32.601626016260163</v>
      </c>
    </row>
    <row r="150" spans="1:9" ht="18.75" customHeight="1">
      <c r="A150" s="1103"/>
      <c r="B150" s="1105"/>
      <c r="C150" s="829" t="s">
        <v>116</v>
      </c>
      <c r="D150" s="847">
        <v>500</v>
      </c>
      <c r="E150" s="837">
        <v>345</v>
      </c>
      <c r="F150" s="838">
        <v>106</v>
      </c>
      <c r="G150" s="838">
        <v>49</v>
      </c>
      <c r="H150" s="836">
        <f t="shared" si="6"/>
        <v>155</v>
      </c>
      <c r="I150" s="882">
        <f t="shared" si="7"/>
        <v>31.612903225806448</v>
      </c>
    </row>
    <row r="151" spans="1:9" ht="18.75" customHeight="1">
      <c r="A151" s="1103"/>
      <c r="B151" s="1105"/>
      <c r="C151" s="829" t="s">
        <v>310</v>
      </c>
      <c r="D151" s="847">
        <v>1050</v>
      </c>
      <c r="E151" s="837">
        <v>15</v>
      </c>
      <c r="F151" s="838">
        <v>677</v>
      </c>
      <c r="G151" s="838">
        <v>358</v>
      </c>
      <c r="H151" s="836">
        <f t="shared" si="6"/>
        <v>1035</v>
      </c>
      <c r="I151" s="882">
        <f t="shared" si="7"/>
        <v>34.589371980676333</v>
      </c>
    </row>
    <row r="152" spans="1:9" ht="18.75" customHeight="1">
      <c r="A152" s="1103"/>
      <c r="B152" s="1105"/>
      <c r="C152" s="829" t="s">
        <v>47</v>
      </c>
      <c r="D152" s="847">
        <v>3000</v>
      </c>
      <c r="E152" s="837">
        <v>580</v>
      </c>
      <c r="F152" s="838">
        <f>F149+F150+F151</f>
        <v>1612</v>
      </c>
      <c r="G152" s="838">
        <f>G149+G150+G151</f>
        <v>808</v>
      </c>
      <c r="H152" s="836">
        <f t="shared" si="6"/>
        <v>2420</v>
      </c>
      <c r="I152" s="882">
        <f t="shared" si="7"/>
        <v>33.388429752066116</v>
      </c>
    </row>
    <row r="153" spans="1:9" ht="18.75" customHeight="1">
      <c r="A153" s="1103"/>
      <c r="B153" s="1106" t="s">
        <v>653</v>
      </c>
      <c r="C153" s="829" t="s">
        <v>116</v>
      </c>
      <c r="D153" s="847">
        <v>1200</v>
      </c>
      <c r="E153" s="837">
        <v>637</v>
      </c>
      <c r="F153" s="838">
        <v>328</v>
      </c>
      <c r="G153" s="838">
        <v>235</v>
      </c>
      <c r="H153" s="836">
        <f t="shared" si="6"/>
        <v>563</v>
      </c>
      <c r="I153" s="882">
        <f t="shared" si="7"/>
        <v>41.740674955595026</v>
      </c>
    </row>
    <row r="154" spans="1:9" ht="18.75" customHeight="1">
      <c r="A154" s="1103"/>
      <c r="B154" s="1106"/>
      <c r="C154" s="828" t="s">
        <v>310</v>
      </c>
      <c r="D154" s="847">
        <v>1800</v>
      </c>
      <c r="E154" s="837">
        <v>600</v>
      </c>
      <c r="F154" s="838">
        <v>816</v>
      </c>
      <c r="G154" s="838">
        <v>384</v>
      </c>
      <c r="H154" s="836">
        <f t="shared" si="6"/>
        <v>1200</v>
      </c>
      <c r="I154" s="882">
        <f t="shared" si="7"/>
        <v>32</v>
      </c>
    </row>
    <row r="155" spans="1:9" ht="18.75" customHeight="1">
      <c r="A155" s="1103"/>
      <c r="B155" s="1106"/>
      <c r="C155" s="830" t="s">
        <v>47</v>
      </c>
      <c r="D155" s="847">
        <v>3000</v>
      </c>
      <c r="E155" s="837">
        <v>1237</v>
      </c>
      <c r="F155" s="838">
        <f>F153+F154</f>
        <v>1144</v>
      </c>
      <c r="G155" s="838">
        <f>G153+G154</f>
        <v>619</v>
      </c>
      <c r="H155" s="836">
        <f t="shared" si="6"/>
        <v>1763</v>
      </c>
      <c r="I155" s="882">
        <f t="shared" si="7"/>
        <v>35.11060692002269</v>
      </c>
    </row>
    <row r="156" spans="1:9" ht="18.75" customHeight="1">
      <c r="A156" s="1103"/>
      <c r="B156" s="1108" t="s">
        <v>654</v>
      </c>
      <c r="C156" s="1108"/>
      <c r="D156" s="861">
        <v>8350</v>
      </c>
      <c r="E156" s="862">
        <v>2790</v>
      </c>
      <c r="F156" s="863">
        <f>F148+F152+F155</f>
        <v>3797.8</v>
      </c>
      <c r="G156" s="863">
        <f>G148+G152+G155</f>
        <v>1762.2</v>
      </c>
      <c r="H156" s="863">
        <f t="shared" si="6"/>
        <v>5560</v>
      </c>
      <c r="I156" s="883">
        <f t="shared" si="7"/>
        <v>31.694244604316545</v>
      </c>
    </row>
    <row r="157" spans="1:9" ht="18.75" customHeight="1">
      <c r="A157" s="1103" t="s">
        <v>92</v>
      </c>
      <c r="B157" s="1105" t="s">
        <v>230</v>
      </c>
      <c r="C157" s="829" t="s">
        <v>115</v>
      </c>
      <c r="D157" s="847">
        <v>1800</v>
      </c>
      <c r="E157" s="837">
        <v>745</v>
      </c>
      <c r="F157" s="838">
        <v>720</v>
      </c>
      <c r="G157" s="838">
        <v>335</v>
      </c>
      <c r="H157" s="836">
        <f t="shared" si="6"/>
        <v>1055</v>
      </c>
      <c r="I157" s="882">
        <f t="shared" si="7"/>
        <v>31.753554502369667</v>
      </c>
    </row>
    <row r="158" spans="1:9" ht="18.75" customHeight="1">
      <c r="A158" s="1103"/>
      <c r="B158" s="1105"/>
      <c r="C158" s="829" t="s">
        <v>116</v>
      </c>
      <c r="D158" s="847">
        <v>550</v>
      </c>
      <c r="E158" s="837">
        <v>228</v>
      </c>
      <c r="F158" s="838">
        <v>319</v>
      </c>
      <c r="G158" s="838">
        <v>3</v>
      </c>
      <c r="H158" s="836">
        <f t="shared" si="6"/>
        <v>322</v>
      </c>
      <c r="I158" s="882">
        <f t="shared" si="7"/>
        <v>0.93167701863354035</v>
      </c>
    </row>
    <row r="159" spans="1:9" ht="18.75" customHeight="1">
      <c r="A159" s="1103"/>
      <c r="B159" s="1105"/>
      <c r="C159" s="829" t="s">
        <v>47</v>
      </c>
      <c r="D159" s="847">
        <v>2350</v>
      </c>
      <c r="E159" s="837">
        <v>973</v>
      </c>
      <c r="F159" s="838">
        <f>F157+F158</f>
        <v>1039</v>
      </c>
      <c r="G159" s="838">
        <f>G157+G158</f>
        <v>338</v>
      </c>
      <c r="H159" s="836">
        <f t="shared" si="6"/>
        <v>1377</v>
      </c>
      <c r="I159" s="882">
        <f t="shared" si="7"/>
        <v>24.546114742193172</v>
      </c>
    </row>
    <row r="160" spans="1:9" ht="18.75" customHeight="1">
      <c r="A160" s="1103"/>
      <c r="B160" s="1105" t="s">
        <v>294</v>
      </c>
      <c r="C160" s="829" t="s">
        <v>115</v>
      </c>
      <c r="D160" s="847">
        <v>1450</v>
      </c>
      <c r="E160" s="837">
        <v>220</v>
      </c>
      <c r="F160" s="838">
        <v>834</v>
      </c>
      <c r="G160" s="838">
        <v>396</v>
      </c>
      <c r="H160" s="836">
        <f t="shared" si="6"/>
        <v>1230</v>
      </c>
      <c r="I160" s="882">
        <f t="shared" si="7"/>
        <v>32.195121951219512</v>
      </c>
    </row>
    <row r="161" spans="1:9" ht="18.75" customHeight="1">
      <c r="A161" s="1103"/>
      <c r="B161" s="1105"/>
      <c r="C161" s="829" t="s">
        <v>116</v>
      </c>
      <c r="D161" s="847">
        <v>500</v>
      </c>
      <c r="E161" s="837">
        <v>345</v>
      </c>
      <c r="F161" s="838">
        <v>106</v>
      </c>
      <c r="G161" s="838">
        <v>49</v>
      </c>
      <c r="H161" s="836">
        <f t="shared" si="6"/>
        <v>155</v>
      </c>
      <c r="I161" s="882">
        <f t="shared" si="7"/>
        <v>31.612903225806448</v>
      </c>
    </row>
    <row r="162" spans="1:9" ht="18.75" customHeight="1">
      <c r="A162" s="1103"/>
      <c r="B162" s="1105"/>
      <c r="C162" s="829" t="s">
        <v>310</v>
      </c>
      <c r="D162" s="847">
        <v>1050</v>
      </c>
      <c r="E162" s="837">
        <v>15</v>
      </c>
      <c r="F162" s="838">
        <v>670</v>
      </c>
      <c r="G162" s="838">
        <v>365</v>
      </c>
      <c r="H162" s="836">
        <f t="shared" si="6"/>
        <v>1035</v>
      </c>
      <c r="I162" s="882">
        <f t="shared" si="7"/>
        <v>35.265700483091791</v>
      </c>
    </row>
    <row r="163" spans="1:9" ht="18.75" customHeight="1">
      <c r="A163" s="1103"/>
      <c r="B163" s="1105"/>
      <c r="C163" s="829" t="s">
        <v>47</v>
      </c>
      <c r="D163" s="847">
        <v>3000</v>
      </c>
      <c r="E163" s="837">
        <v>580</v>
      </c>
      <c r="F163" s="838">
        <f>F160+F161+F162</f>
        <v>1610</v>
      </c>
      <c r="G163" s="838">
        <f>G160+G161+G162</f>
        <v>810</v>
      </c>
      <c r="H163" s="836">
        <f t="shared" si="6"/>
        <v>2420</v>
      </c>
      <c r="I163" s="882">
        <f t="shared" si="7"/>
        <v>33.471074380165291</v>
      </c>
    </row>
    <row r="164" spans="1:9" ht="18.75" customHeight="1">
      <c r="A164" s="1103"/>
      <c r="B164" s="1106" t="s">
        <v>653</v>
      </c>
      <c r="C164" s="829" t="s">
        <v>116</v>
      </c>
      <c r="D164" s="847">
        <v>1200</v>
      </c>
      <c r="E164" s="837">
        <v>637</v>
      </c>
      <c r="F164" s="838">
        <v>339</v>
      </c>
      <c r="G164" s="838">
        <v>224</v>
      </c>
      <c r="H164" s="836">
        <f t="shared" si="6"/>
        <v>563</v>
      </c>
      <c r="I164" s="882">
        <f t="shared" si="7"/>
        <v>39.786856127886324</v>
      </c>
    </row>
    <row r="165" spans="1:9" ht="18.75" customHeight="1">
      <c r="A165" s="1103"/>
      <c r="B165" s="1106"/>
      <c r="C165" s="828" t="s">
        <v>310</v>
      </c>
      <c r="D165" s="847">
        <v>1800</v>
      </c>
      <c r="E165" s="837">
        <v>600</v>
      </c>
      <c r="F165" s="838">
        <v>804</v>
      </c>
      <c r="G165" s="838">
        <v>396</v>
      </c>
      <c r="H165" s="836">
        <f t="shared" si="6"/>
        <v>1200</v>
      </c>
      <c r="I165" s="882">
        <f t="shared" si="7"/>
        <v>33</v>
      </c>
    </row>
    <row r="166" spans="1:9" ht="18.75" customHeight="1">
      <c r="A166" s="1103"/>
      <c r="B166" s="1106"/>
      <c r="C166" s="830" t="s">
        <v>47</v>
      </c>
      <c r="D166" s="847">
        <v>3000</v>
      </c>
      <c r="E166" s="837">
        <v>1237</v>
      </c>
      <c r="F166" s="838">
        <f>F164+F165</f>
        <v>1143</v>
      </c>
      <c r="G166" s="838">
        <f>G164+G165</f>
        <v>620</v>
      </c>
      <c r="H166" s="836">
        <f t="shared" si="6"/>
        <v>1763</v>
      </c>
      <c r="I166" s="882">
        <f t="shared" si="7"/>
        <v>35.167328417470223</v>
      </c>
    </row>
    <row r="167" spans="1:9" ht="18.75" customHeight="1">
      <c r="A167" s="1104"/>
      <c r="B167" s="1107" t="s">
        <v>654</v>
      </c>
      <c r="C167" s="1107"/>
      <c r="D167" s="864">
        <v>8350</v>
      </c>
      <c r="E167" s="865">
        <v>2790</v>
      </c>
      <c r="F167" s="866">
        <f>F159+F163+F166</f>
        <v>3792</v>
      </c>
      <c r="G167" s="866">
        <f>G159+G163+G166</f>
        <v>1768</v>
      </c>
      <c r="H167" s="866">
        <f t="shared" si="6"/>
        <v>5560</v>
      </c>
      <c r="I167" s="879">
        <f t="shared" si="7"/>
        <v>31.798561151079134</v>
      </c>
    </row>
    <row r="168" spans="1:9" ht="18.75" customHeight="1">
      <c r="A168" s="1099"/>
      <c r="B168" s="1099"/>
      <c r="C168" s="1099"/>
      <c r="D168" s="1099"/>
      <c r="E168" s="1099"/>
      <c r="F168" s="1100"/>
      <c r="G168" s="1100"/>
      <c r="H168" s="884"/>
      <c r="I168" s="18"/>
    </row>
    <row r="169" spans="1:9" ht="24" customHeight="1">
      <c r="A169" s="1101" t="s">
        <v>7</v>
      </c>
      <c r="B169" s="1101"/>
      <c r="C169" s="1101"/>
      <c r="D169" s="1101"/>
      <c r="E169" s="1101"/>
      <c r="F169" s="1101"/>
      <c r="G169" s="843"/>
      <c r="H169" s="843"/>
      <c r="I169" s="843"/>
    </row>
    <row r="170" spans="1:9" ht="18.75" customHeight="1">
      <c r="A170" s="880"/>
      <c r="B170" s="880"/>
      <c r="C170" s="880"/>
      <c r="D170" s="880"/>
      <c r="E170" s="880"/>
      <c r="F170" s="880"/>
      <c r="G170" s="843"/>
      <c r="H170" s="843"/>
      <c r="I170" s="843"/>
    </row>
    <row r="171" spans="1:9" ht="18.75" customHeight="1">
      <c r="A171" s="18"/>
      <c r="B171" s="18"/>
      <c r="C171" s="18"/>
      <c r="D171" s="18"/>
      <c r="E171" s="18"/>
      <c r="F171" s="18"/>
      <c r="G171" s="18"/>
      <c r="H171" s="884"/>
      <c r="I171" s="18"/>
    </row>
    <row r="172" spans="1:9" ht="18.75" customHeight="1">
      <c r="A172" s="18"/>
      <c r="B172" s="18"/>
      <c r="C172" s="18"/>
      <c r="D172" s="18"/>
      <c r="E172" s="18"/>
      <c r="F172" s="18"/>
      <c r="G172" s="18"/>
      <c r="H172" s="884"/>
      <c r="I172" s="18"/>
    </row>
    <row r="173" spans="1:9" ht="18.75" customHeight="1">
      <c r="A173" s="1102" t="s">
        <v>336</v>
      </c>
      <c r="B173" s="1102"/>
      <c r="C173" s="1102"/>
      <c r="D173" s="1102"/>
      <c r="E173" s="1102"/>
      <c r="F173" s="1102"/>
      <c r="G173" s="1102"/>
      <c r="H173" s="920"/>
      <c r="I173" s="921">
        <v>61</v>
      </c>
    </row>
  </sheetData>
  <mergeCells count="110">
    <mergeCell ref="A125:G125"/>
    <mergeCell ref="B113:C113"/>
    <mergeCell ref="A103:A113"/>
    <mergeCell ref="B103:B105"/>
    <mergeCell ref="B106:B109"/>
    <mergeCell ref="B121:B123"/>
    <mergeCell ref="B124:C124"/>
    <mergeCell ref="A114:A124"/>
    <mergeCell ref="B114:B116"/>
    <mergeCell ref="B117:B120"/>
    <mergeCell ref="B26:C26"/>
    <mergeCell ref="A130:G130"/>
    <mergeCell ref="A89:I89"/>
    <mergeCell ref="A88:I88"/>
    <mergeCell ref="I47:I48"/>
    <mergeCell ref="E47:E48"/>
    <mergeCell ref="F47:G47"/>
    <mergeCell ref="H47:H48"/>
    <mergeCell ref="B67:B69"/>
    <mergeCell ref="B70:C70"/>
    <mergeCell ref="B99:B101"/>
    <mergeCell ref="B102:C102"/>
    <mergeCell ref="A92:A102"/>
    <mergeCell ref="B78:B80"/>
    <mergeCell ref="B81:C81"/>
    <mergeCell ref="B56:B58"/>
    <mergeCell ref="B59:C59"/>
    <mergeCell ref="B92:B94"/>
    <mergeCell ref="B95:B98"/>
    <mergeCell ref="A44:G44"/>
    <mergeCell ref="A87:G87"/>
    <mergeCell ref="A39:F39"/>
    <mergeCell ref="A126:F126"/>
    <mergeCell ref="B110:B112"/>
    <mergeCell ref="H90:H91"/>
    <mergeCell ref="I90:I91"/>
    <mergeCell ref="A90:A91"/>
    <mergeCell ref="B90:B91"/>
    <mergeCell ref="C90:C91"/>
    <mergeCell ref="D90:D91"/>
    <mergeCell ref="E90:E91"/>
    <mergeCell ref="F90:G90"/>
    <mergeCell ref="B34:B36"/>
    <mergeCell ref="B37:C37"/>
    <mergeCell ref="A27:A37"/>
    <mergeCell ref="A49:A59"/>
    <mergeCell ref="A60:A70"/>
    <mergeCell ref="A83:F83"/>
    <mergeCell ref="A71:A81"/>
    <mergeCell ref="D47:D48"/>
    <mergeCell ref="B60:B62"/>
    <mergeCell ref="B63:B66"/>
    <mergeCell ref="B74:B77"/>
    <mergeCell ref="B71:B73"/>
    <mergeCell ref="A47:A48"/>
    <mergeCell ref="C47:C48"/>
    <mergeCell ref="B27:B29"/>
    <mergeCell ref="B30:B33"/>
    <mergeCell ref="B49:B51"/>
    <mergeCell ref="B52:B55"/>
    <mergeCell ref="B47:B48"/>
    <mergeCell ref="A45:I45"/>
    <mergeCell ref="A46:I46"/>
    <mergeCell ref="A1:I1"/>
    <mergeCell ref="A2:I2"/>
    <mergeCell ref="D3:D4"/>
    <mergeCell ref="E3:E4"/>
    <mergeCell ref="F3:G3"/>
    <mergeCell ref="C3:C4"/>
    <mergeCell ref="H3:H4"/>
    <mergeCell ref="I3:I4"/>
    <mergeCell ref="A16:A26"/>
    <mergeCell ref="B16:B18"/>
    <mergeCell ref="A3:A4"/>
    <mergeCell ref="A5:A15"/>
    <mergeCell ref="B5:B7"/>
    <mergeCell ref="B8:B11"/>
    <mergeCell ref="B12:B14"/>
    <mergeCell ref="B3:B4"/>
    <mergeCell ref="B15:C15"/>
    <mergeCell ref="B19:B22"/>
    <mergeCell ref="B23:B25"/>
    <mergeCell ref="A135:A145"/>
    <mergeCell ref="B135:B137"/>
    <mergeCell ref="B138:B141"/>
    <mergeCell ref="B142:B144"/>
    <mergeCell ref="B145:C145"/>
    <mergeCell ref="A131:I131"/>
    <mergeCell ref="A132:I132"/>
    <mergeCell ref="A133:A134"/>
    <mergeCell ref="B133:B134"/>
    <mergeCell ref="C133:C134"/>
    <mergeCell ref="D133:D134"/>
    <mergeCell ref="E133:E134"/>
    <mergeCell ref="F133:G133"/>
    <mergeCell ref="H133:H134"/>
    <mergeCell ref="I133:I134"/>
    <mergeCell ref="A168:G168"/>
    <mergeCell ref="A169:F169"/>
    <mergeCell ref="A173:G173"/>
    <mergeCell ref="A157:A167"/>
    <mergeCell ref="B157:B159"/>
    <mergeCell ref="B160:B163"/>
    <mergeCell ref="B164:B166"/>
    <mergeCell ref="B167:C167"/>
    <mergeCell ref="A146:A156"/>
    <mergeCell ref="B146:B148"/>
    <mergeCell ref="B149:B152"/>
    <mergeCell ref="B153:B155"/>
    <mergeCell ref="B156:C15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rowBreaks count="2" manualBreakCount="2">
    <brk id="44" max="8" man="1"/>
    <brk id="87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I24"/>
  <sheetViews>
    <sheetView rightToLeft="1" view="pageBreakPreview" zoomScale="110" zoomScaleSheetLayoutView="110" workbookViewId="0">
      <selection activeCell="E5" sqref="E5"/>
    </sheetView>
  </sheetViews>
  <sheetFormatPr defaultRowHeight="14.25"/>
  <cols>
    <col min="1" max="1" width="12.375" customWidth="1"/>
    <col min="2" max="5" width="13.625" customWidth="1"/>
    <col min="6" max="8" width="14" customWidth="1"/>
    <col min="9" max="9" width="14.75" customWidth="1"/>
  </cols>
  <sheetData>
    <row r="1" spans="1:9" ht="32.25" customHeight="1">
      <c r="A1" s="972" t="s">
        <v>740</v>
      </c>
      <c r="B1" s="972"/>
      <c r="C1" s="972"/>
      <c r="D1" s="972"/>
      <c r="E1" s="972"/>
      <c r="F1" s="972"/>
      <c r="G1" s="972"/>
      <c r="H1" s="972"/>
      <c r="I1" s="972"/>
    </row>
    <row r="2" spans="1:9" ht="24.75" customHeight="1" thickBot="1">
      <c r="A2" s="308" t="s">
        <v>492</v>
      </c>
      <c r="B2" s="308"/>
      <c r="C2" s="308"/>
      <c r="D2" s="308"/>
      <c r="E2" s="619"/>
      <c r="F2" s="308"/>
      <c r="I2" s="622" t="s">
        <v>375</v>
      </c>
    </row>
    <row r="3" spans="1:9" ht="27.75" customHeight="1" thickTop="1">
      <c r="A3" s="1118" t="s">
        <v>322</v>
      </c>
      <c r="B3" s="1120" t="s">
        <v>680</v>
      </c>
      <c r="C3" s="1120"/>
      <c r="D3" s="1120"/>
      <c r="E3" s="1118" t="s">
        <v>47</v>
      </c>
      <c r="F3" s="1120" t="s">
        <v>681</v>
      </c>
      <c r="G3" s="1120"/>
      <c r="H3" s="1120"/>
      <c r="I3" s="1118" t="s">
        <v>47</v>
      </c>
    </row>
    <row r="4" spans="1:9" ht="30" customHeight="1">
      <c r="A4" s="1119"/>
      <c r="B4" s="259" t="s">
        <v>323</v>
      </c>
      <c r="C4" s="309" t="s">
        <v>324</v>
      </c>
      <c r="D4" s="309" t="s">
        <v>225</v>
      </c>
      <c r="E4" s="1119"/>
      <c r="F4" s="259" t="s">
        <v>323</v>
      </c>
      <c r="G4" s="309" t="s">
        <v>324</v>
      </c>
      <c r="H4" s="309" t="s">
        <v>225</v>
      </c>
      <c r="I4" s="1119"/>
    </row>
    <row r="5" spans="1:9" ht="27" customHeight="1">
      <c r="A5" s="310" t="s">
        <v>93</v>
      </c>
      <c r="B5" s="314">
        <v>109382</v>
      </c>
      <c r="C5" s="314">
        <v>132373</v>
      </c>
      <c r="D5" s="314">
        <v>169776</v>
      </c>
      <c r="E5" s="314">
        <f t="shared" ref="E5:E17" si="0">SUM(B5:D5)</f>
        <v>411531</v>
      </c>
      <c r="F5" s="314">
        <v>62726</v>
      </c>
      <c r="G5" s="314">
        <v>125738</v>
      </c>
      <c r="H5" s="314">
        <v>144089</v>
      </c>
      <c r="I5" s="314">
        <f t="shared" ref="I5:I17" si="1">SUM(F5:H5)</f>
        <v>332553</v>
      </c>
    </row>
    <row r="6" spans="1:9" ht="27" customHeight="1">
      <c r="A6" s="311" t="s">
        <v>20</v>
      </c>
      <c r="B6" s="315">
        <v>68040</v>
      </c>
      <c r="C6" s="315">
        <v>151839</v>
      </c>
      <c r="D6" s="315">
        <v>117547</v>
      </c>
      <c r="E6" s="315">
        <f t="shared" si="0"/>
        <v>337426</v>
      </c>
      <c r="F6" s="315">
        <v>22887</v>
      </c>
      <c r="G6" s="315">
        <v>92664</v>
      </c>
      <c r="H6" s="315">
        <v>83903</v>
      </c>
      <c r="I6" s="315">
        <f t="shared" si="1"/>
        <v>199454</v>
      </c>
    </row>
    <row r="7" spans="1:9" ht="27" customHeight="1">
      <c r="A7" s="311" t="s">
        <v>40</v>
      </c>
      <c r="B7" s="315">
        <v>149688</v>
      </c>
      <c r="C7" s="315">
        <v>210030</v>
      </c>
      <c r="D7" s="315">
        <v>142171</v>
      </c>
      <c r="E7" s="315">
        <f t="shared" si="0"/>
        <v>501889</v>
      </c>
      <c r="F7" s="315">
        <v>61508</v>
      </c>
      <c r="G7" s="315">
        <v>111793</v>
      </c>
      <c r="H7" s="315">
        <v>106687</v>
      </c>
      <c r="I7" s="315">
        <f t="shared" si="1"/>
        <v>279988</v>
      </c>
    </row>
    <row r="8" spans="1:9" ht="27" customHeight="1">
      <c r="A8" s="311" t="s">
        <v>22</v>
      </c>
      <c r="B8" s="315">
        <v>152928</v>
      </c>
      <c r="C8" s="315">
        <v>189164</v>
      </c>
      <c r="D8" s="315">
        <v>183643</v>
      </c>
      <c r="E8" s="315">
        <f t="shared" si="0"/>
        <v>525735</v>
      </c>
      <c r="F8" s="315">
        <v>73354</v>
      </c>
      <c r="G8" s="315">
        <v>179807</v>
      </c>
      <c r="H8" s="315">
        <v>158242</v>
      </c>
      <c r="I8" s="315">
        <f t="shared" si="1"/>
        <v>411403</v>
      </c>
    </row>
    <row r="9" spans="1:9" ht="27" customHeight="1">
      <c r="A9" s="311" t="s">
        <v>23</v>
      </c>
      <c r="B9" s="315">
        <v>109719</v>
      </c>
      <c r="C9" s="315">
        <v>244996</v>
      </c>
      <c r="D9" s="315">
        <v>150543</v>
      </c>
      <c r="E9" s="315">
        <f t="shared" si="0"/>
        <v>505258</v>
      </c>
      <c r="F9" s="315">
        <v>151165</v>
      </c>
      <c r="G9" s="315">
        <v>255597</v>
      </c>
      <c r="H9" s="315">
        <v>140616</v>
      </c>
      <c r="I9" s="315">
        <f t="shared" si="1"/>
        <v>547378</v>
      </c>
    </row>
    <row r="10" spans="1:9" ht="27" customHeight="1">
      <c r="A10" s="311" t="s">
        <v>24</v>
      </c>
      <c r="B10" s="315">
        <v>40176</v>
      </c>
      <c r="C10" s="315">
        <v>186624</v>
      </c>
      <c r="D10" s="315">
        <v>124157</v>
      </c>
      <c r="E10" s="315">
        <f t="shared" si="0"/>
        <v>350957</v>
      </c>
      <c r="F10" s="315">
        <v>50026</v>
      </c>
      <c r="G10" s="315">
        <v>185976</v>
      </c>
      <c r="H10" s="315">
        <v>152798</v>
      </c>
      <c r="I10" s="315">
        <f t="shared" si="1"/>
        <v>388800</v>
      </c>
    </row>
    <row r="11" spans="1:9" ht="27" customHeight="1">
      <c r="A11" s="311" t="s">
        <v>25</v>
      </c>
      <c r="B11" s="315">
        <v>55313</v>
      </c>
      <c r="C11" s="315">
        <v>149014</v>
      </c>
      <c r="D11" s="315">
        <v>146707</v>
      </c>
      <c r="E11" s="315">
        <f t="shared" si="0"/>
        <v>351034</v>
      </c>
      <c r="F11" s="315">
        <v>21669</v>
      </c>
      <c r="G11" s="315">
        <v>124390</v>
      </c>
      <c r="H11" s="315">
        <v>137765</v>
      </c>
      <c r="I11" s="315">
        <f t="shared" si="1"/>
        <v>283824</v>
      </c>
    </row>
    <row r="12" spans="1:9" ht="27" customHeight="1">
      <c r="A12" s="311" t="s">
        <v>41</v>
      </c>
      <c r="B12" s="317">
        <v>27216</v>
      </c>
      <c r="C12" s="315">
        <v>121176</v>
      </c>
      <c r="D12" s="315">
        <v>110341</v>
      </c>
      <c r="E12" s="315">
        <f t="shared" si="0"/>
        <v>258733</v>
      </c>
      <c r="F12" s="317">
        <v>6584</v>
      </c>
      <c r="G12" s="315">
        <v>87661</v>
      </c>
      <c r="H12" s="315">
        <v>113789</v>
      </c>
      <c r="I12" s="315">
        <f t="shared" si="1"/>
        <v>208034</v>
      </c>
    </row>
    <row r="13" spans="1:9" ht="27" customHeight="1">
      <c r="A13" s="311" t="s">
        <v>27</v>
      </c>
      <c r="B13" s="315">
        <v>25920</v>
      </c>
      <c r="C13" s="315">
        <v>138802</v>
      </c>
      <c r="D13" s="315">
        <v>153524</v>
      </c>
      <c r="E13" s="315">
        <f t="shared" si="0"/>
        <v>318246</v>
      </c>
      <c r="F13" s="315">
        <v>3888</v>
      </c>
      <c r="G13" s="315">
        <v>87558</v>
      </c>
      <c r="H13" s="315">
        <v>97848</v>
      </c>
      <c r="I13" s="315">
        <f t="shared" si="1"/>
        <v>189294</v>
      </c>
    </row>
    <row r="14" spans="1:9" ht="27" customHeight="1">
      <c r="A14" s="312" t="s">
        <v>223</v>
      </c>
      <c r="B14" s="315">
        <v>27216</v>
      </c>
      <c r="C14" s="315">
        <v>125971</v>
      </c>
      <c r="D14" s="315">
        <v>147511</v>
      </c>
      <c r="E14" s="315">
        <f t="shared" si="0"/>
        <v>300698</v>
      </c>
      <c r="F14" s="315">
        <v>3784</v>
      </c>
      <c r="G14" s="315">
        <v>69362</v>
      </c>
      <c r="H14" s="315">
        <v>85795</v>
      </c>
      <c r="I14" s="315">
        <f t="shared" si="1"/>
        <v>158941</v>
      </c>
    </row>
    <row r="15" spans="1:9" ht="27" customHeight="1">
      <c r="A15" s="312" t="s">
        <v>91</v>
      </c>
      <c r="B15" s="316">
        <v>1296</v>
      </c>
      <c r="C15" s="316">
        <v>55028</v>
      </c>
      <c r="D15" s="316">
        <v>59331</v>
      </c>
      <c r="E15" s="316">
        <f t="shared" si="0"/>
        <v>115655</v>
      </c>
      <c r="F15" s="817">
        <v>0</v>
      </c>
      <c r="G15" s="316">
        <v>28901</v>
      </c>
      <c r="H15" s="316">
        <v>39347</v>
      </c>
      <c r="I15" s="316">
        <f t="shared" si="1"/>
        <v>68248</v>
      </c>
    </row>
    <row r="16" spans="1:9" ht="27" customHeight="1">
      <c r="A16" s="313" t="s">
        <v>224</v>
      </c>
      <c r="B16" s="317">
        <v>21410</v>
      </c>
      <c r="C16" s="317">
        <v>107516</v>
      </c>
      <c r="D16" s="317">
        <v>106376</v>
      </c>
      <c r="E16" s="317">
        <f t="shared" si="0"/>
        <v>235302</v>
      </c>
      <c r="F16" s="317">
        <v>363</v>
      </c>
      <c r="G16" s="317">
        <v>36988</v>
      </c>
      <c r="H16" s="317">
        <v>42924</v>
      </c>
      <c r="I16" s="317">
        <f t="shared" si="1"/>
        <v>80275</v>
      </c>
    </row>
    <row r="17" spans="1:9" ht="27" customHeight="1" thickBot="1">
      <c r="A17" s="480" t="s">
        <v>269</v>
      </c>
      <c r="B17" s="481">
        <f>SUM(B5:B16)</f>
        <v>788304</v>
      </c>
      <c r="C17" s="481">
        <f>SUM(C5:C16)</f>
        <v>1812533</v>
      </c>
      <c r="D17" s="481">
        <f>SUM(D5:D16)</f>
        <v>1611627</v>
      </c>
      <c r="E17" s="481">
        <f t="shared" si="0"/>
        <v>4212464</v>
      </c>
      <c r="F17" s="481">
        <f>SUM(F5:F16)</f>
        <v>457954</v>
      </c>
      <c r="G17" s="481">
        <f>SUM(G5:G16)</f>
        <v>1386435</v>
      </c>
      <c r="H17" s="481">
        <f>SUM(H5:H16)</f>
        <v>1303803</v>
      </c>
      <c r="I17" s="481">
        <f t="shared" si="1"/>
        <v>3148192</v>
      </c>
    </row>
    <row r="18" spans="1:9" ht="19.5" customHeight="1" thickTop="1">
      <c r="A18" s="963" t="s">
        <v>7</v>
      </c>
      <c r="B18" s="963"/>
      <c r="C18" s="963"/>
      <c r="D18" s="963"/>
      <c r="E18" s="963"/>
      <c r="F18" s="963"/>
      <c r="G18" s="963"/>
      <c r="H18" s="247"/>
    </row>
    <row r="19" spans="1:9" ht="19.5" customHeight="1">
      <c r="A19" s="616"/>
      <c r="B19" s="616"/>
      <c r="C19" s="616"/>
      <c r="D19" s="616"/>
      <c r="E19" s="616"/>
      <c r="F19" s="616"/>
      <c r="G19" s="616"/>
      <c r="H19" s="247"/>
    </row>
    <row r="20" spans="1:9" ht="19.5" customHeight="1">
      <c r="A20" s="616"/>
      <c r="B20" s="616"/>
      <c r="C20" s="616"/>
      <c r="D20" s="616"/>
      <c r="E20" s="616"/>
      <c r="F20" s="616"/>
      <c r="G20" s="616"/>
      <c r="H20" s="247"/>
    </row>
    <row r="21" spans="1:9" ht="20.25" customHeight="1">
      <c r="A21" s="999" t="s">
        <v>287</v>
      </c>
      <c r="B21" s="999"/>
      <c r="C21" s="999"/>
      <c r="D21" s="999"/>
      <c r="E21" s="617"/>
      <c r="F21" s="307"/>
      <c r="G21" s="307"/>
      <c r="H21" s="63"/>
      <c r="I21" s="63">
        <v>62</v>
      </c>
    </row>
    <row r="24" spans="1:9">
      <c r="D24" s="602"/>
      <c r="E24" s="602"/>
    </row>
  </sheetData>
  <mergeCells count="8">
    <mergeCell ref="I3:I4"/>
    <mergeCell ref="A1:I1"/>
    <mergeCell ref="A21:D21"/>
    <mergeCell ref="B3:D3"/>
    <mergeCell ref="F3:H3"/>
    <mergeCell ref="A3:A4"/>
    <mergeCell ref="A18:G18"/>
    <mergeCell ref="E3:E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M29"/>
  <sheetViews>
    <sheetView rightToLeft="1" view="pageBreakPreview" zoomScale="80" zoomScaleSheetLayoutView="80" workbookViewId="0">
      <selection activeCell="A18" sqref="A18:A19"/>
    </sheetView>
  </sheetViews>
  <sheetFormatPr defaultRowHeight="14.25"/>
  <cols>
    <col min="1" max="1" width="16.375" customWidth="1"/>
    <col min="2" max="13" width="9.875" customWidth="1"/>
    <col min="14" max="14" width="12.375" bestFit="1" customWidth="1"/>
    <col min="26" max="26" width="8.875" customWidth="1"/>
  </cols>
  <sheetData>
    <row r="1" spans="1:13" ht="1.5" customHeight="1">
      <c r="A1" s="996"/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</row>
    <row r="2" spans="1:13" ht="33.75" customHeight="1">
      <c r="A2" s="947" t="s">
        <v>668</v>
      </c>
      <c r="B2" s="947"/>
      <c r="C2" s="947"/>
      <c r="D2" s="947"/>
      <c r="E2" s="947"/>
      <c r="F2" s="947"/>
      <c r="G2" s="947"/>
      <c r="H2" s="947"/>
      <c r="I2" s="947"/>
      <c r="J2" s="947"/>
      <c r="K2" s="947"/>
      <c r="L2" s="947"/>
      <c r="M2" s="947"/>
    </row>
    <row r="3" spans="1:13" ht="18" customHeight="1">
      <c r="A3" s="1011" t="s">
        <v>682</v>
      </c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</row>
    <row r="4" spans="1:13" ht="21" customHeight="1" thickBot="1">
      <c r="A4" s="1121" t="s">
        <v>230</v>
      </c>
      <c r="B4" s="1121"/>
      <c r="C4" s="1121"/>
      <c r="D4" s="1121"/>
      <c r="E4" s="1121"/>
      <c r="F4" s="1121"/>
      <c r="G4" s="1121"/>
      <c r="H4" s="1121"/>
      <c r="I4" s="1121"/>
      <c r="J4" s="1121"/>
      <c r="K4" s="1121"/>
      <c r="L4" s="1121"/>
      <c r="M4" s="1121"/>
    </row>
    <row r="5" spans="1:13" ht="24" customHeight="1" thickTop="1">
      <c r="A5" s="984" t="s">
        <v>429</v>
      </c>
      <c r="B5" s="988" t="s">
        <v>428</v>
      </c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8"/>
    </row>
    <row r="6" spans="1:13" ht="33.75" customHeight="1">
      <c r="A6" s="992"/>
      <c r="B6" s="277" t="s">
        <v>19</v>
      </c>
      <c r="C6" s="277" t="s">
        <v>20</v>
      </c>
      <c r="D6" s="277" t="s">
        <v>40</v>
      </c>
      <c r="E6" s="277" t="s">
        <v>22</v>
      </c>
      <c r="F6" s="277" t="s">
        <v>23</v>
      </c>
      <c r="G6" s="277" t="s">
        <v>24</v>
      </c>
      <c r="H6" s="277" t="s">
        <v>25</v>
      </c>
      <c r="I6" s="277" t="s">
        <v>41</v>
      </c>
      <c r="J6" s="277" t="s">
        <v>27</v>
      </c>
      <c r="K6" s="277" t="s">
        <v>226</v>
      </c>
      <c r="L6" s="277" t="s">
        <v>227</v>
      </c>
      <c r="M6" s="277" t="s">
        <v>228</v>
      </c>
    </row>
    <row r="7" spans="1:13" ht="33.75" customHeight="1" thickBot="1">
      <c r="A7" s="558" t="s">
        <v>229</v>
      </c>
      <c r="B7" s="572">
        <v>24.2</v>
      </c>
      <c r="C7" s="572">
        <v>8.83</v>
      </c>
      <c r="D7" s="572">
        <v>23.73</v>
      </c>
      <c r="E7" s="572">
        <v>28.3</v>
      </c>
      <c r="F7" s="572">
        <v>58.32</v>
      </c>
      <c r="G7" s="572">
        <v>19.3</v>
      </c>
      <c r="H7" s="572">
        <v>8.36</v>
      </c>
      <c r="I7" s="572">
        <v>2.54</v>
      </c>
      <c r="J7" s="934">
        <v>1.5</v>
      </c>
      <c r="K7" s="934">
        <v>1.46</v>
      </c>
      <c r="L7" s="934">
        <v>0</v>
      </c>
      <c r="M7" s="934">
        <v>0.14000000000000001</v>
      </c>
    </row>
    <row r="8" spans="1:13" ht="21.75" customHeight="1" thickTop="1">
      <c r="A8" s="845"/>
      <c r="B8" s="845"/>
      <c r="C8" s="845"/>
      <c r="D8" s="845"/>
      <c r="E8" s="845"/>
      <c r="F8" s="845"/>
      <c r="G8" s="845"/>
      <c r="H8" s="845"/>
      <c r="I8" s="845"/>
      <c r="J8" s="615"/>
      <c r="K8" s="615"/>
      <c r="L8" s="615"/>
      <c r="M8" s="615"/>
    </row>
    <row r="9" spans="1:13" ht="15.75" customHeight="1">
      <c r="A9" s="1011" t="s">
        <v>684</v>
      </c>
      <c r="B9" s="1011"/>
      <c r="C9" s="1011"/>
      <c r="D9" s="1011"/>
      <c r="E9" s="1011"/>
      <c r="F9" s="1011"/>
      <c r="G9" s="1011"/>
      <c r="H9" s="1011"/>
      <c r="I9" s="1011"/>
      <c r="J9" s="1011"/>
      <c r="K9" s="1011"/>
      <c r="L9" s="1011"/>
      <c r="M9" s="1011"/>
    </row>
    <row r="10" spans="1:13" ht="39" customHeight="1" thickBot="1">
      <c r="A10" s="1121" t="s">
        <v>663</v>
      </c>
      <c r="B10" s="1121"/>
      <c r="C10" s="1121"/>
      <c r="D10" s="1121"/>
      <c r="E10" s="1121"/>
      <c r="F10" s="1121"/>
      <c r="G10" s="1121"/>
      <c r="H10" s="1121"/>
      <c r="I10" s="1121"/>
      <c r="J10" s="1121"/>
      <c r="K10" s="1121"/>
      <c r="L10" s="1121"/>
      <c r="M10" s="1121"/>
    </row>
    <row r="11" spans="1:13" ht="21.75" customHeight="1" thickTop="1">
      <c r="A11" s="984" t="s">
        <v>429</v>
      </c>
      <c r="B11" s="1124" t="s">
        <v>428</v>
      </c>
      <c r="C11" s="1124"/>
      <c r="D11" s="1124"/>
      <c r="E11" s="1124"/>
      <c r="F11" s="1124"/>
      <c r="G11" s="1124"/>
      <c r="H11" s="1124"/>
      <c r="I11" s="1124"/>
      <c r="J11" s="1124"/>
      <c r="K11" s="1124"/>
      <c r="L11" s="1124"/>
      <c r="M11" s="1124"/>
    </row>
    <row r="12" spans="1:13" ht="25.5" customHeight="1">
      <c r="A12" s="992"/>
      <c r="B12" s="278" t="s">
        <v>19</v>
      </c>
      <c r="C12" s="278" t="s">
        <v>20</v>
      </c>
      <c r="D12" s="278" t="s">
        <v>40</v>
      </c>
      <c r="E12" s="278" t="s">
        <v>22</v>
      </c>
      <c r="F12" s="278" t="s">
        <v>23</v>
      </c>
      <c r="G12" s="278" t="s">
        <v>24</v>
      </c>
      <c r="H12" s="278" t="s">
        <v>25</v>
      </c>
      <c r="I12" s="278" t="s">
        <v>41</v>
      </c>
      <c r="J12" s="278" t="s">
        <v>27</v>
      </c>
      <c r="K12" s="278" t="s">
        <v>226</v>
      </c>
      <c r="L12" s="278" t="s">
        <v>227</v>
      </c>
      <c r="M12" s="278" t="s">
        <v>228</v>
      </c>
    </row>
    <row r="13" spans="1:13" ht="33" customHeight="1" thickBot="1">
      <c r="A13" s="935" t="s">
        <v>229</v>
      </c>
      <c r="B13" s="934">
        <v>48.51</v>
      </c>
      <c r="C13" s="934">
        <v>35.75</v>
      </c>
      <c r="D13" s="934">
        <v>43.13</v>
      </c>
      <c r="E13" s="934">
        <v>69.37</v>
      </c>
      <c r="F13" s="934">
        <v>98.61</v>
      </c>
      <c r="G13" s="934">
        <v>71.75</v>
      </c>
      <c r="H13" s="934">
        <v>47.99</v>
      </c>
      <c r="I13" s="934">
        <v>33.82</v>
      </c>
      <c r="J13" s="934">
        <v>29.38</v>
      </c>
      <c r="K13" s="934">
        <v>22.21</v>
      </c>
      <c r="L13" s="934">
        <v>8.4499999999999993</v>
      </c>
      <c r="M13" s="934">
        <v>9.32</v>
      </c>
    </row>
    <row r="14" spans="1:13" ht="21.75" customHeight="1" thickTop="1">
      <c r="A14" s="833"/>
      <c r="B14" s="254"/>
      <c r="C14" s="254"/>
      <c r="D14" s="254"/>
      <c r="E14" s="254"/>
      <c r="F14" s="254"/>
      <c r="G14" s="844"/>
      <c r="H14" s="254"/>
      <c r="I14" s="254"/>
      <c r="J14" s="254"/>
      <c r="K14" s="254"/>
      <c r="L14" s="254"/>
      <c r="M14" s="254"/>
    </row>
    <row r="15" spans="1:13" ht="21.75" customHeight="1">
      <c r="A15" s="833"/>
      <c r="B15" s="254"/>
      <c r="C15" s="254"/>
      <c r="D15" s="254"/>
      <c r="E15" s="254"/>
      <c r="F15" s="254"/>
      <c r="G15" s="844"/>
      <c r="H15" s="254"/>
      <c r="I15" s="254"/>
      <c r="J15" s="254"/>
      <c r="K15" s="254"/>
      <c r="L15" s="254"/>
      <c r="M15" s="254"/>
    </row>
    <row r="16" spans="1:13" ht="15.75" customHeight="1">
      <c r="A16" s="1011" t="s">
        <v>683</v>
      </c>
      <c r="B16" s="1011"/>
      <c r="C16" s="1011"/>
      <c r="D16" s="1011"/>
      <c r="E16" s="1011"/>
      <c r="F16" s="1011"/>
      <c r="G16" s="1011"/>
      <c r="H16" s="1011"/>
      <c r="I16" s="1011"/>
      <c r="J16" s="1011"/>
      <c r="K16" s="1011"/>
      <c r="L16" s="1011"/>
      <c r="M16" s="1011"/>
    </row>
    <row r="17" spans="1:13" ht="31.5" customHeight="1" thickBot="1">
      <c r="A17" s="1121" t="s">
        <v>653</v>
      </c>
      <c r="B17" s="1121"/>
      <c r="C17" s="1121"/>
      <c r="D17" s="1121"/>
      <c r="E17" s="1121"/>
      <c r="F17" s="1121"/>
      <c r="G17" s="1121"/>
      <c r="H17" s="1121"/>
      <c r="I17" s="1121"/>
      <c r="J17" s="1121"/>
      <c r="K17" s="1121"/>
      <c r="L17" s="1121"/>
      <c r="M17" s="1121"/>
    </row>
    <row r="18" spans="1:13" ht="21.75" customHeight="1" thickTop="1">
      <c r="A18" s="984" t="s">
        <v>429</v>
      </c>
      <c r="B18" s="988" t="s">
        <v>428</v>
      </c>
      <c r="C18" s="988"/>
      <c r="D18" s="988"/>
      <c r="E18" s="988"/>
      <c r="F18" s="988"/>
      <c r="G18" s="988"/>
      <c r="H18" s="988"/>
      <c r="I18" s="988"/>
      <c r="J18" s="988"/>
      <c r="K18" s="988"/>
      <c r="L18" s="988"/>
      <c r="M18" s="988"/>
    </row>
    <row r="19" spans="1:13" ht="30" customHeight="1">
      <c r="A19" s="992"/>
      <c r="B19" s="277" t="s">
        <v>19</v>
      </c>
      <c r="C19" s="277" t="s">
        <v>20</v>
      </c>
      <c r="D19" s="277" t="s">
        <v>40</v>
      </c>
      <c r="E19" s="277" t="s">
        <v>22</v>
      </c>
      <c r="F19" s="277" t="s">
        <v>23</v>
      </c>
      <c r="G19" s="277" t="s">
        <v>24</v>
      </c>
      <c r="H19" s="277" t="s">
        <v>25</v>
      </c>
      <c r="I19" s="277" t="s">
        <v>41</v>
      </c>
      <c r="J19" s="277" t="s">
        <v>27</v>
      </c>
      <c r="K19" s="277" t="s">
        <v>226</v>
      </c>
      <c r="L19" s="277" t="s">
        <v>227</v>
      </c>
      <c r="M19" s="277" t="s">
        <v>228</v>
      </c>
    </row>
    <row r="20" spans="1:13" ht="39" customHeight="1" thickBot="1">
      <c r="A20" s="935" t="s">
        <v>229</v>
      </c>
      <c r="B20" s="936">
        <v>55.59</v>
      </c>
      <c r="C20" s="936">
        <v>32.369999999999997</v>
      </c>
      <c r="D20" s="936">
        <v>41.16</v>
      </c>
      <c r="E20" s="936">
        <v>61.05</v>
      </c>
      <c r="F20" s="936">
        <v>54.25</v>
      </c>
      <c r="G20" s="936">
        <v>58.95</v>
      </c>
      <c r="H20" s="936">
        <v>53.15</v>
      </c>
      <c r="I20" s="936">
        <v>43.9</v>
      </c>
      <c r="J20" s="936">
        <v>37.75</v>
      </c>
      <c r="K20" s="936">
        <v>33.1</v>
      </c>
      <c r="L20" s="937">
        <v>15.18</v>
      </c>
      <c r="M20" s="937">
        <v>16.559999999999999</v>
      </c>
    </row>
    <row r="21" spans="1:13" ht="15" thickTop="1"/>
    <row r="22" spans="1:13">
      <c r="A22" s="1123" t="s">
        <v>7</v>
      </c>
      <c r="B22" s="1123"/>
      <c r="C22" s="1123"/>
      <c r="D22" s="1123"/>
      <c r="E22" s="1123"/>
      <c r="F22" s="1123"/>
    </row>
    <row r="23" spans="1:13">
      <c r="A23" s="933"/>
      <c r="B23" s="933"/>
      <c r="C23" s="933"/>
      <c r="D23" s="933"/>
      <c r="E23" s="933"/>
      <c r="F23" s="933"/>
    </row>
    <row r="24" spans="1:13">
      <c r="A24" s="933"/>
      <c r="B24" s="933"/>
      <c r="C24" s="933"/>
      <c r="D24" s="933"/>
      <c r="E24" s="933"/>
      <c r="F24" s="933"/>
    </row>
    <row r="25" spans="1:13">
      <c r="A25" s="933"/>
      <c r="B25" s="933"/>
      <c r="C25" s="933"/>
      <c r="D25" s="933"/>
      <c r="E25" s="933"/>
      <c r="F25" s="933"/>
    </row>
    <row r="26" spans="1:13">
      <c r="A26" s="933"/>
      <c r="B26" s="933"/>
      <c r="C26" s="933"/>
      <c r="D26" s="933"/>
      <c r="E26" s="933"/>
      <c r="F26" s="933"/>
    </row>
    <row r="27" spans="1:13">
      <c r="A27" s="933"/>
      <c r="B27" s="933"/>
      <c r="C27" s="933"/>
      <c r="D27" s="933"/>
      <c r="E27" s="933"/>
      <c r="F27" s="933"/>
    </row>
    <row r="28" spans="1:13" ht="15" thickBot="1">
      <c r="A28" s="933"/>
      <c r="B28" s="933"/>
      <c r="C28" s="933"/>
      <c r="D28" s="933"/>
      <c r="E28" s="933"/>
      <c r="F28" s="933"/>
    </row>
    <row r="29" spans="1:13" ht="18.75" customHeight="1">
      <c r="A29" s="1122" t="s">
        <v>336</v>
      </c>
      <c r="B29" s="1122"/>
      <c r="C29" s="1122"/>
      <c r="D29" s="1122"/>
      <c r="E29" s="1122"/>
      <c r="F29" s="1122"/>
      <c r="G29" s="1122"/>
      <c r="H29" s="854"/>
      <c r="I29" s="855"/>
      <c r="J29" s="372"/>
      <c r="K29" s="372"/>
      <c r="L29" s="372"/>
      <c r="M29" s="466">
        <v>63</v>
      </c>
    </row>
  </sheetData>
  <mergeCells count="16">
    <mergeCell ref="A29:G29"/>
    <mergeCell ref="B18:M18"/>
    <mergeCell ref="A18:A19"/>
    <mergeCell ref="A22:F22"/>
    <mergeCell ref="A10:M10"/>
    <mergeCell ref="A16:M16"/>
    <mergeCell ref="A17:M17"/>
    <mergeCell ref="A11:A12"/>
    <mergeCell ref="B11:M11"/>
    <mergeCell ref="A9:M9"/>
    <mergeCell ref="A5:A6"/>
    <mergeCell ref="B5:M5"/>
    <mergeCell ref="A1:M1"/>
    <mergeCell ref="A2:M2"/>
    <mergeCell ref="A3:M3"/>
    <mergeCell ref="A4:M4"/>
  </mergeCells>
  <printOptions horizontalCentered="1"/>
  <pageMargins left="0.23622047244094491" right="0.23622047244094491" top="0.51181102362204722" bottom="0.51181102362204722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H48"/>
  <sheetViews>
    <sheetView rightToLeft="1" view="pageBreakPreview" topLeftCell="A31" zoomScale="106" zoomScaleSheetLayoutView="106" workbookViewId="0">
      <selection activeCell="D26" sqref="D26:O26"/>
    </sheetView>
  </sheetViews>
  <sheetFormatPr defaultRowHeight="14.25"/>
  <cols>
    <col min="1" max="1" width="4.125" customWidth="1"/>
    <col min="2" max="2" width="10.375" customWidth="1"/>
    <col min="3" max="3" width="11.25" customWidth="1"/>
    <col min="4" max="4" width="8" customWidth="1"/>
    <col min="5" max="5" width="7" customWidth="1"/>
    <col min="6" max="6" width="6.125" customWidth="1"/>
    <col min="7" max="13" width="7" customWidth="1"/>
    <col min="14" max="14" width="8.75" customWidth="1"/>
    <col min="15" max="15" width="7.125" customWidth="1"/>
    <col min="16" max="16" width="9.375" customWidth="1"/>
    <col min="17" max="17" width="8.75" customWidth="1"/>
    <col min="19" max="19" width="11.625" style="47" bestFit="1" customWidth="1"/>
    <col min="20" max="20" width="9.375" style="47" bestFit="1" customWidth="1"/>
    <col min="21" max="21" width="10.375" style="47" bestFit="1" customWidth="1"/>
    <col min="22" max="31" width="9.375" style="47" bestFit="1" customWidth="1"/>
    <col min="32" max="32" width="16.25" style="47" bestFit="1" customWidth="1"/>
    <col min="33" max="33" width="12.375" style="47" bestFit="1" customWidth="1"/>
    <col min="34" max="34" width="9.875" style="47" bestFit="1" customWidth="1"/>
  </cols>
  <sheetData>
    <row r="1" spans="1:34" ht="19.5" customHeight="1">
      <c r="A1" s="947" t="s">
        <v>741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</row>
    <row r="2" spans="1:34" ht="22.5" customHeight="1" thickBot="1">
      <c r="A2" s="948" t="s">
        <v>302</v>
      </c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8"/>
    </row>
    <row r="3" spans="1:34" ht="27" customHeight="1" thickTop="1">
      <c r="A3" s="966" t="s">
        <v>14</v>
      </c>
      <c r="B3" s="968" t="s">
        <v>451</v>
      </c>
      <c r="C3" s="968" t="s">
        <v>15</v>
      </c>
      <c r="D3" s="970" t="s">
        <v>296</v>
      </c>
      <c r="E3" s="970"/>
      <c r="F3" s="970"/>
      <c r="G3" s="970"/>
      <c r="H3" s="970"/>
      <c r="I3" s="970"/>
      <c r="J3" s="970"/>
      <c r="K3" s="970"/>
      <c r="L3" s="970"/>
      <c r="M3" s="970"/>
      <c r="N3" s="970"/>
      <c r="O3" s="970"/>
      <c r="P3" s="645" t="s">
        <v>452</v>
      </c>
      <c r="Q3" s="645" t="s">
        <v>454</v>
      </c>
    </row>
    <row r="4" spans="1:34" ht="27" customHeight="1">
      <c r="A4" s="967"/>
      <c r="B4" s="969"/>
      <c r="C4" s="969"/>
      <c r="D4" s="278" t="s">
        <v>16</v>
      </c>
      <c r="E4" s="259" t="s">
        <v>17</v>
      </c>
      <c r="F4" s="259" t="s">
        <v>18</v>
      </c>
      <c r="G4" s="259" t="s">
        <v>19</v>
      </c>
      <c r="H4" s="259" t="s">
        <v>20</v>
      </c>
      <c r="I4" s="259" t="s">
        <v>21</v>
      </c>
      <c r="J4" s="259" t="s">
        <v>22</v>
      </c>
      <c r="K4" s="259" t="s">
        <v>23</v>
      </c>
      <c r="L4" s="259" t="s">
        <v>24</v>
      </c>
      <c r="M4" s="259" t="s">
        <v>25</v>
      </c>
      <c r="N4" s="259" t="s">
        <v>26</v>
      </c>
      <c r="O4" s="259" t="s">
        <v>27</v>
      </c>
      <c r="P4" s="646" t="s">
        <v>453</v>
      </c>
      <c r="Q4" s="646" t="s">
        <v>455</v>
      </c>
      <c r="S4" s="278" t="s">
        <v>16</v>
      </c>
      <c r="T4" s="278" t="s">
        <v>17</v>
      </c>
      <c r="U4" s="278" t="s">
        <v>18</v>
      </c>
      <c r="V4" s="278" t="s">
        <v>19</v>
      </c>
      <c r="W4" s="278" t="s">
        <v>20</v>
      </c>
      <c r="X4" s="278" t="s">
        <v>21</v>
      </c>
      <c r="Y4" s="278" t="s">
        <v>22</v>
      </c>
      <c r="Z4" s="278" t="s">
        <v>23</v>
      </c>
      <c r="AA4" s="278" t="s">
        <v>24</v>
      </c>
      <c r="AB4" s="278" t="s">
        <v>25</v>
      </c>
      <c r="AC4" s="278" t="s">
        <v>26</v>
      </c>
      <c r="AD4" s="278" t="s">
        <v>27</v>
      </c>
      <c r="AE4" s="575" t="s">
        <v>262</v>
      </c>
      <c r="AF4" s="575" t="s">
        <v>263</v>
      </c>
    </row>
    <row r="5" spans="1:34" ht="24.75" customHeight="1">
      <c r="A5" s="949" t="s">
        <v>28</v>
      </c>
      <c r="B5" s="952" t="s">
        <v>242</v>
      </c>
      <c r="C5" s="92" t="s">
        <v>29</v>
      </c>
      <c r="D5" s="213">
        <v>116</v>
      </c>
      <c r="E5" s="213">
        <v>189</v>
      </c>
      <c r="F5" s="213">
        <v>444</v>
      </c>
      <c r="G5" s="213">
        <v>261</v>
      </c>
      <c r="H5" s="213">
        <v>325</v>
      </c>
      <c r="I5" s="213">
        <v>658</v>
      </c>
      <c r="J5" s="213">
        <v>1304</v>
      </c>
      <c r="K5" s="213">
        <v>972</v>
      </c>
      <c r="L5" s="213">
        <v>362</v>
      </c>
      <c r="M5" s="213">
        <v>218</v>
      </c>
      <c r="N5" s="213">
        <v>241</v>
      </c>
      <c r="O5" s="213">
        <v>163</v>
      </c>
      <c r="P5" s="588">
        <v>437.75</v>
      </c>
      <c r="Q5" s="589">
        <v>13.804883999999999</v>
      </c>
      <c r="S5" s="251">
        <v>116</v>
      </c>
      <c r="T5" s="251">
        <v>189</v>
      </c>
      <c r="U5" s="251">
        <v>444</v>
      </c>
      <c r="V5" s="251">
        <v>261</v>
      </c>
      <c r="W5" s="251">
        <v>325</v>
      </c>
      <c r="X5" s="251">
        <v>658</v>
      </c>
      <c r="Y5" s="251">
        <v>1304</v>
      </c>
      <c r="Z5" s="251">
        <v>972</v>
      </c>
      <c r="AA5" s="251">
        <v>362</v>
      </c>
      <c r="AB5" s="251">
        <v>218</v>
      </c>
      <c r="AC5" s="251">
        <v>241</v>
      </c>
      <c r="AD5" s="251">
        <v>163</v>
      </c>
      <c r="AE5" s="576">
        <f t="shared" ref="AE5:AE16" si="0">SUM(S5:AD5)</f>
        <v>5253</v>
      </c>
      <c r="AF5" s="577">
        <f>AE5/12</f>
        <v>437.75</v>
      </c>
      <c r="AG5" s="47">
        <f>AF5*60*60*24*365</f>
        <v>13804884000</v>
      </c>
      <c r="AH5" s="244">
        <f>AG5/1000000000</f>
        <v>13.804883999999999</v>
      </c>
    </row>
    <row r="6" spans="1:34" ht="24.75" customHeight="1">
      <c r="A6" s="950"/>
      <c r="B6" s="953"/>
      <c r="C6" s="93" t="s">
        <v>30</v>
      </c>
      <c r="D6" s="89">
        <v>176</v>
      </c>
      <c r="E6" s="89">
        <v>286</v>
      </c>
      <c r="F6" s="89">
        <v>416</v>
      </c>
      <c r="G6" s="89">
        <v>528</v>
      </c>
      <c r="H6" s="89">
        <v>732</v>
      </c>
      <c r="I6" s="89">
        <v>1100</v>
      </c>
      <c r="J6" s="89">
        <v>1662</v>
      </c>
      <c r="K6" s="89">
        <v>1429</v>
      </c>
      <c r="L6" s="89">
        <v>644</v>
      </c>
      <c r="M6" s="89">
        <v>279</v>
      </c>
      <c r="N6" s="89">
        <v>168</v>
      </c>
      <c r="O6" s="89">
        <v>139</v>
      </c>
      <c r="P6" s="590">
        <v>629.91666666666663</v>
      </c>
      <c r="Q6" s="591">
        <v>19.865051999999999</v>
      </c>
      <c r="S6" s="89">
        <v>176</v>
      </c>
      <c r="T6" s="89">
        <v>286</v>
      </c>
      <c r="U6" s="89">
        <v>416</v>
      </c>
      <c r="V6" s="89">
        <v>528</v>
      </c>
      <c r="W6" s="89">
        <v>732</v>
      </c>
      <c r="X6" s="89">
        <v>1100</v>
      </c>
      <c r="Y6" s="89">
        <v>1662</v>
      </c>
      <c r="Z6" s="89">
        <v>1429</v>
      </c>
      <c r="AA6" s="89">
        <v>644</v>
      </c>
      <c r="AB6" s="89">
        <v>279</v>
      </c>
      <c r="AC6" s="89">
        <v>168</v>
      </c>
      <c r="AD6" s="89">
        <v>139</v>
      </c>
      <c r="AE6" s="89">
        <f t="shared" si="0"/>
        <v>7559</v>
      </c>
      <c r="AF6" s="577">
        <f t="shared" ref="AF6:AF15" si="1">AE6/12</f>
        <v>629.91666666666663</v>
      </c>
      <c r="AG6" s="47">
        <f t="shared" ref="AG6:AG16" si="2">AF6*60*60*24*365</f>
        <v>19865052000</v>
      </c>
      <c r="AH6" s="244">
        <f>AG6/1000000000</f>
        <v>19.865051999999999</v>
      </c>
    </row>
    <row r="7" spans="1:34" ht="24.75" customHeight="1">
      <c r="A7" s="951"/>
      <c r="B7" s="954"/>
      <c r="C7" s="233" t="s">
        <v>270</v>
      </c>
      <c r="D7" s="869">
        <f>D5/D6*100</f>
        <v>65.909090909090907</v>
      </c>
      <c r="E7" s="869">
        <f t="shared" ref="E7:O7" si="3">E5/E6*100</f>
        <v>66.08391608391608</v>
      </c>
      <c r="F7" s="869">
        <f t="shared" si="3"/>
        <v>106.73076923076923</v>
      </c>
      <c r="G7" s="869">
        <f t="shared" si="3"/>
        <v>49.43181818181818</v>
      </c>
      <c r="H7" s="869">
        <f t="shared" si="3"/>
        <v>44.398907103825138</v>
      </c>
      <c r="I7" s="869">
        <f t="shared" si="3"/>
        <v>59.818181818181813</v>
      </c>
      <c r="J7" s="869">
        <f t="shared" si="3"/>
        <v>78.459687123947049</v>
      </c>
      <c r="K7" s="869">
        <f t="shared" si="3"/>
        <v>68.019594121763475</v>
      </c>
      <c r="L7" s="869">
        <f t="shared" si="3"/>
        <v>56.211180124223603</v>
      </c>
      <c r="M7" s="869">
        <f t="shared" si="3"/>
        <v>78.136200716845877</v>
      </c>
      <c r="N7" s="869">
        <f t="shared" si="3"/>
        <v>143.45238095238096</v>
      </c>
      <c r="O7" s="869">
        <f t="shared" si="3"/>
        <v>117.26618705035972</v>
      </c>
      <c r="P7" s="607">
        <f>P5/P6*100</f>
        <v>69.493319222119325</v>
      </c>
      <c r="Q7" s="607">
        <f>Q5/Q6*100</f>
        <v>69.493319222119325</v>
      </c>
      <c r="S7" s="611">
        <v>65.909090909090907</v>
      </c>
      <c r="T7" s="611">
        <v>66.08391608391608</v>
      </c>
      <c r="U7" s="611">
        <v>106.73076923076923</v>
      </c>
      <c r="V7" s="611">
        <v>49.43181818181818</v>
      </c>
      <c r="W7" s="611">
        <v>44.398907103825138</v>
      </c>
      <c r="X7" s="611">
        <v>59.818181818181813</v>
      </c>
      <c r="Y7" s="611">
        <v>78.459687123947049</v>
      </c>
      <c r="Z7" s="611">
        <v>68.019594121763475</v>
      </c>
      <c r="AA7" s="611">
        <v>56.211180124223603</v>
      </c>
      <c r="AB7" s="611">
        <v>78.136200716845877</v>
      </c>
      <c r="AC7" s="611">
        <v>143.45238095238096</v>
      </c>
      <c r="AD7" s="611">
        <v>117.26618705035972</v>
      </c>
      <c r="AE7" s="605">
        <f t="shared" si="0"/>
        <v>933.91791341712201</v>
      </c>
      <c r="AF7" s="577"/>
      <c r="AG7" s="47">
        <f t="shared" si="2"/>
        <v>0</v>
      </c>
      <c r="AH7" s="606"/>
    </row>
    <row r="8" spans="1:34" ht="24.75" customHeight="1">
      <c r="A8" s="949" t="s">
        <v>31</v>
      </c>
      <c r="B8" s="955" t="s">
        <v>264</v>
      </c>
      <c r="C8" s="92" t="s">
        <v>29</v>
      </c>
      <c r="D8" s="213">
        <v>71</v>
      </c>
      <c r="E8" s="213">
        <v>153</v>
      </c>
      <c r="F8" s="213">
        <v>197</v>
      </c>
      <c r="G8" s="213">
        <v>155</v>
      </c>
      <c r="H8" s="213">
        <v>178</v>
      </c>
      <c r="I8" s="213">
        <v>350</v>
      </c>
      <c r="J8" s="213">
        <v>829</v>
      </c>
      <c r="K8" s="213">
        <v>419</v>
      </c>
      <c r="L8" s="213">
        <v>238</v>
      </c>
      <c r="M8" s="213">
        <v>100</v>
      </c>
      <c r="N8" s="213">
        <v>50</v>
      </c>
      <c r="O8" s="213">
        <v>50</v>
      </c>
      <c r="P8" s="588">
        <v>232.5</v>
      </c>
      <c r="Q8" s="589">
        <v>7.3321199999999997</v>
      </c>
      <c r="S8" s="251">
        <v>71</v>
      </c>
      <c r="T8" s="251">
        <v>153</v>
      </c>
      <c r="U8" s="251">
        <v>197</v>
      </c>
      <c r="V8" s="251">
        <v>155</v>
      </c>
      <c r="W8" s="251">
        <v>178</v>
      </c>
      <c r="X8" s="251">
        <v>350</v>
      </c>
      <c r="Y8" s="251">
        <v>829</v>
      </c>
      <c r="Z8" s="251">
        <v>419</v>
      </c>
      <c r="AA8" s="251">
        <v>238</v>
      </c>
      <c r="AB8" s="251">
        <v>100</v>
      </c>
      <c r="AC8" s="251">
        <v>50</v>
      </c>
      <c r="AD8" s="251">
        <v>50</v>
      </c>
      <c r="AE8" s="576">
        <f t="shared" si="0"/>
        <v>2790</v>
      </c>
      <c r="AF8" s="577">
        <f t="shared" si="1"/>
        <v>232.5</v>
      </c>
      <c r="AG8" s="47">
        <f t="shared" si="2"/>
        <v>7332120000</v>
      </c>
      <c r="AH8" s="244">
        <f>AG8/1000000000</f>
        <v>7.3321199999999997</v>
      </c>
    </row>
    <row r="9" spans="1:34" ht="24.75" customHeight="1">
      <c r="A9" s="950"/>
      <c r="B9" s="956"/>
      <c r="C9" s="75" t="s">
        <v>30</v>
      </c>
      <c r="D9" s="89">
        <v>140</v>
      </c>
      <c r="E9" s="89">
        <v>190</v>
      </c>
      <c r="F9" s="89">
        <v>260</v>
      </c>
      <c r="G9" s="89">
        <v>310</v>
      </c>
      <c r="H9" s="89">
        <v>471</v>
      </c>
      <c r="I9" s="89">
        <v>705</v>
      </c>
      <c r="J9" s="89">
        <v>1046</v>
      </c>
      <c r="K9" s="89">
        <v>1000</v>
      </c>
      <c r="L9" s="89">
        <v>600</v>
      </c>
      <c r="M9" s="89">
        <v>312</v>
      </c>
      <c r="N9" s="89">
        <v>180</v>
      </c>
      <c r="O9" s="89">
        <v>140</v>
      </c>
      <c r="P9" s="590">
        <v>446.16666666666669</v>
      </c>
      <c r="Q9" s="591">
        <v>14.070311999999999</v>
      </c>
      <c r="S9" s="161">
        <v>140</v>
      </c>
      <c r="T9" s="161">
        <v>190</v>
      </c>
      <c r="U9" s="161">
        <v>260</v>
      </c>
      <c r="V9" s="161">
        <v>310</v>
      </c>
      <c r="W9" s="161">
        <v>471</v>
      </c>
      <c r="X9" s="161">
        <v>705</v>
      </c>
      <c r="Y9" s="161">
        <v>1046</v>
      </c>
      <c r="Z9" s="161">
        <v>1000</v>
      </c>
      <c r="AA9" s="161">
        <v>600</v>
      </c>
      <c r="AB9" s="161">
        <v>312</v>
      </c>
      <c r="AC9" s="161">
        <v>180</v>
      </c>
      <c r="AD9" s="161">
        <v>140</v>
      </c>
      <c r="AE9" s="576">
        <f t="shared" si="0"/>
        <v>5354</v>
      </c>
      <c r="AF9" s="577">
        <f t="shared" si="1"/>
        <v>446.16666666666669</v>
      </c>
      <c r="AG9" s="47">
        <f t="shared" si="2"/>
        <v>14070312000</v>
      </c>
      <c r="AH9" s="244">
        <f>AG9/1000000000</f>
        <v>14.070311999999999</v>
      </c>
    </row>
    <row r="10" spans="1:34" ht="24.75" customHeight="1">
      <c r="A10" s="951"/>
      <c r="B10" s="956"/>
      <c r="C10" s="233" t="s">
        <v>270</v>
      </c>
      <c r="D10" s="870">
        <f>D8/D9*100</f>
        <v>50.714285714285708</v>
      </c>
      <c r="E10" s="870">
        <f t="shared" ref="E10:Q10" si="4">E8/E9*100</f>
        <v>80.526315789473685</v>
      </c>
      <c r="F10" s="870">
        <f t="shared" si="4"/>
        <v>75.769230769230774</v>
      </c>
      <c r="G10" s="870">
        <f t="shared" si="4"/>
        <v>50</v>
      </c>
      <c r="H10" s="870">
        <f t="shared" si="4"/>
        <v>37.791932059447987</v>
      </c>
      <c r="I10" s="870">
        <f t="shared" si="4"/>
        <v>49.645390070921984</v>
      </c>
      <c r="J10" s="870">
        <f t="shared" si="4"/>
        <v>79.254302103250467</v>
      </c>
      <c r="K10" s="870">
        <f t="shared" si="4"/>
        <v>41.9</v>
      </c>
      <c r="L10" s="870">
        <f t="shared" si="4"/>
        <v>39.666666666666664</v>
      </c>
      <c r="M10" s="870">
        <f t="shared" si="4"/>
        <v>32.051282051282051</v>
      </c>
      <c r="N10" s="870">
        <f t="shared" si="4"/>
        <v>27.777777777777779</v>
      </c>
      <c r="O10" s="870">
        <f t="shared" si="4"/>
        <v>35.714285714285715</v>
      </c>
      <c r="P10" s="607">
        <f t="shared" si="4"/>
        <v>52.110571535300707</v>
      </c>
      <c r="Q10" s="607">
        <f t="shared" si="4"/>
        <v>52.110571535300707</v>
      </c>
      <c r="S10" s="612">
        <v>50.714285714285708</v>
      </c>
      <c r="T10" s="612">
        <v>80.526315789473685</v>
      </c>
      <c r="U10" s="612">
        <v>75.769230769230774</v>
      </c>
      <c r="V10" s="612">
        <v>50</v>
      </c>
      <c r="W10" s="612">
        <v>37.791932059447987</v>
      </c>
      <c r="X10" s="612">
        <v>49.645390070921984</v>
      </c>
      <c r="Y10" s="612">
        <v>79.254302103250467</v>
      </c>
      <c r="Z10" s="612">
        <v>41.9</v>
      </c>
      <c r="AA10" s="612">
        <v>39.666666666666664</v>
      </c>
      <c r="AB10" s="612">
        <v>32.051282051282051</v>
      </c>
      <c r="AC10" s="612">
        <v>27.777777777777779</v>
      </c>
      <c r="AD10" s="612">
        <v>35.714285714285715</v>
      </c>
      <c r="AE10" s="612">
        <f t="shared" si="0"/>
        <v>600.8114687166227</v>
      </c>
      <c r="AF10" s="577"/>
      <c r="AG10" s="47">
        <f t="shared" si="2"/>
        <v>0</v>
      </c>
      <c r="AH10" s="613"/>
    </row>
    <row r="11" spans="1:34" ht="24.75" customHeight="1">
      <c r="A11" s="950" t="s">
        <v>32</v>
      </c>
      <c r="B11" s="952" t="s">
        <v>265</v>
      </c>
      <c r="C11" s="92" t="s">
        <v>29</v>
      </c>
      <c r="D11" s="213">
        <v>10</v>
      </c>
      <c r="E11" s="213">
        <v>24</v>
      </c>
      <c r="F11" s="213">
        <v>126</v>
      </c>
      <c r="G11" s="213">
        <v>71</v>
      </c>
      <c r="H11" s="213">
        <v>111</v>
      </c>
      <c r="I11" s="213">
        <v>281</v>
      </c>
      <c r="J11" s="213">
        <v>358</v>
      </c>
      <c r="K11" s="213">
        <v>149</v>
      </c>
      <c r="L11" s="213">
        <v>36</v>
      </c>
      <c r="M11" s="213">
        <v>7</v>
      </c>
      <c r="N11" s="213">
        <v>3</v>
      </c>
      <c r="O11" s="213">
        <v>2</v>
      </c>
      <c r="P11" s="452">
        <v>98.166666666666671</v>
      </c>
      <c r="Q11" s="589">
        <v>3.0957840000000001</v>
      </c>
      <c r="S11" s="215">
        <v>10</v>
      </c>
      <c r="T11" s="215">
        <v>24</v>
      </c>
      <c r="U11" s="215">
        <v>126</v>
      </c>
      <c r="V11" s="215">
        <v>71</v>
      </c>
      <c r="W11" s="215">
        <v>111</v>
      </c>
      <c r="X11" s="215">
        <v>281</v>
      </c>
      <c r="Y11" s="215">
        <v>358</v>
      </c>
      <c r="Z11" s="215">
        <v>149</v>
      </c>
      <c r="AA11" s="215">
        <v>36</v>
      </c>
      <c r="AB11" s="215">
        <v>7</v>
      </c>
      <c r="AC11" s="215">
        <v>3</v>
      </c>
      <c r="AD11" s="215">
        <v>2</v>
      </c>
      <c r="AE11" s="579">
        <f t="shared" si="0"/>
        <v>1178</v>
      </c>
      <c r="AF11" s="577">
        <f t="shared" si="1"/>
        <v>98.166666666666671</v>
      </c>
      <c r="AG11" s="47">
        <f t="shared" si="2"/>
        <v>3095784000</v>
      </c>
      <c r="AH11" s="244">
        <f>AG11/1000000000</f>
        <v>3.0957840000000001</v>
      </c>
    </row>
    <row r="12" spans="1:34" ht="24.75" customHeight="1">
      <c r="A12" s="950"/>
      <c r="B12" s="953"/>
      <c r="C12" s="75" t="s">
        <v>30</v>
      </c>
      <c r="D12" s="89">
        <v>64</v>
      </c>
      <c r="E12" s="89">
        <v>111</v>
      </c>
      <c r="F12" s="89">
        <v>171</v>
      </c>
      <c r="G12" s="89">
        <v>223</v>
      </c>
      <c r="H12" s="89">
        <v>343</v>
      </c>
      <c r="I12" s="89">
        <v>465</v>
      </c>
      <c r="J12" s="89">
        <v>469</v>
      </c>
      <c r="K12" s="89">
        <v>290</v>
      </c>
      <c r="L12" s="89">
        <v>125</v>
      </c>
      <c r="M12" s="89">
        <v>69</v>
      </c>
      <c r="N12" s="89">
        <v>58</v>
      </c>
      <c r="O12" s="89">
        <v>53</v>
      </c>
      <c r="P12" s="590">
        <v>203.41666666666666</v>
      </c>
      <c r="Q12" s="591">
        <v>6.4149479999999999</v>
      </c>
      <c r="S12" s="161">
        <v>64</v>
      </c>
      <c r="T12" s="161">
        <v>111</v>
      </c>
      <c r="U12" s="161">
        <v>171</v>
      </c>
      <c r="V12" s="161">
        <v>223</v>
      </c>
      <c r="W12" s="161">
        <v>343</v>
      </c>
      <c r="X12" s="161">
        <v>465</v>
      </c>
      <c r="Y12" s="161">
        <v>469</v>
      </c>
      <c r="Z12" s="161">
        <v>290</v>
      </c>
      <c r="AA12" s="161">
        <v>125</v>
      </c>
      <c r="AB12" s="161">
        <v>69</v>
      </c>
      <c r="AC12" s="161">
        <v>58</v>
      </c>
      <c r="AD12" s="161">
        <v>53</v>
      </c>
      <c r="AE12" s="576">
        <f t="shared" si="0"/>
        <v>2441</v>
      </c>
      <c r="AF12" s="577">
        <f t="shared" si="1"/>
        <v>203.41666666666666</v>
      </c>
      <c r="AG12" s="47">
        <f t="shared" si="2"/>
        <v>6414948000</v>
      </c>
      <c r="AH12" s="244">
        <f>AG12/1000000000</f>
        <v>6.4149479999999999</v>
      </c>
    </row>
    <row r="13" spans="1:34" ht="24.75" customHeight="1">
      <c r="A13" s="950"/>
      <c r="B13" s="953"/>
      <c r="C13" s="233" t="s">
        <v>270</v>
      </c>
      <c r="D13" s="869">
        <f>D11/D12*100</f>
        <v>15.625</v>
      </c>
      <c r="E13" s="869">
        <f t="shared" ref="E13:Q13" si="5">E11/E12*100</f>
        <v>21.621621621621621</v>
      </c>
      <c r="F13" s="869">
        <f t="shared" si="5"/>
        <v>73.68421052631578</v>
      </c>
      <c r="G13" s="869">
        <f t="shared" si="5"/>
        <v>31.838565022421523</v>
      </c>
      <c r="H13" s="869">
        <f t="shared" si="5"/>
        <v>32.361516034985421</v>
      </c>
      <c r="I13" s="869">
        <f t="shared" si="5"/>
        <v>60.430107526881713</v>
      </c>
      <c r="J13" s="869">
        <f t="shared" si="5"/>
        <v>76.332622601279326</v>
      </c>
      <c r="K13" s="869">
        <f t="shared" si="5"/>
        <v>51.379310344827587</v>
      </c>
      <c r="L13" s="869">
        <f t="shared" si="5"/>
        <v>28.799999999999997</v>
      </c>
      <c r="M13" s="869">
        <f t="shared" si="5"/>
        <v>10.144927536231885</v>
      </c>
      <c r="N13" s="869">
        <f t="shared" si="5"/>
        <v>5.1724137931034484</v>
      </c>
      <c r="O13" s="869">
        <f t="shared" si="5"/>
        <v>3.7735849056603774</v>
      </c>
      <c r="P13" s="607">
        <f t="shared" si="5"/>
        <v>48.258910282671039</v>
      </c>
      <c r="Q13" s="607">
        <f t="shared" si="5"/>
        <v>48.258910282671039</v>
      </c>
      <c r="R13" s="581"/>
      <c r="S13" s="612">
        <v>15.625</v>
      </c>
      <c r="T13" s="612">
        <v>21.621621621621621</v>
      </c>
      <c r="U13" s="612">
        <v>73.68421052631578</v>
      </c>
      <c r="V13" s="612">
        <v>31.838565022421523</v>
      </c>
      <c r="W13" s="612">
        <v>32.361516034985421</v>
      </c>
      <c r="X13" s="612">
        <v>60.430107526881713</v>
      </c>
      <c r="Y13" s="612">
        <v>76.332622601279326</v>
      </c>
      <c r="Z13" s="612">
        <v>51.379310344827587</v>
      </c>
      <c r="AA13" s="612">
        <v>28.799999999999997</v>
      </c>
      <c r="AB13" s="612">
        <v>10.144927536231885</v>
      </c>
      <c r="AC13" s="612">
        <v>5.1724137931034484</v>
      </c>
      <c r="AD13" s="612">
        <v>3.7735849056603774</v>
      </c>
      <c r="AE13" s="612">
        <f t="shared" si="0"/>
        <v>411.16387991332857</v>
      </c>
      <c r="AF13" s="577"/>
      <c r="AG13" s="47">
        <f t="shared" si="2"/>
        <v>0</v>
      </c>
      <c r="AH13" s="578"/>
    </row>
    <row r="14" spans="1:34" ht="24.75" customHeight="1">
      <c r="A14" s="957" t="s">
        <v>33</v>
      </c>
      <c r="B14" s="952" t="s">
        <v>266</v>
      </c>
      <c r="C14" s="92" t="s">
        <v>29</v>
      </c>
      <c r="D14" s="215">
        <v>15</v>
      </c>
      <c r="E14" s="215">
        <v>21</v>
      </c>
      <c r="F14" s="215">
        <v>52</v>
      </c>
      <c r="G14" s="215">
        <v>27</v>
      </c>
      <c r="H14" s="215">
        <v>33</v>
      </c>
      <c r="I14" s="215">
        <v>54</v>
      </c>
      <c r="J14" s="215">
        <v>39</v>
      </c>
      <c r="K14" s="215">
        <v>34</v>
      </c>
      <c r="L14" s="215">
        <v>14</v>
      </c>
      <c r="M14" s="215">
        <v>2</v>
      </c>
      <c r="N14" s="215">
        <v>8</v>
      </c>
      <c r="O14" s="215">
        <v>11</v>
      </c>
      <c r="P14" s="592">
        <v>25.833333333333332</v>
      </c>
      <c r="Q14" s="589">
        <v>0.81467999999999996</v>
      </c>
      <c r="S14" s="215">
        <v>15</v>
      </c>
      <c r="T14" s="215">
        <v>21</v>
      </c>
      <c r="U14" s="215">
        <v>52</v>
      </c>
      <c r="V14" s="215">
        <v>27</v>
      </c>
      <c r="W14" s="215">
        <v>33</v>
      </c>
      <c r="X14" s="215">
        <v>54</v>
      </c>
      <c r="Y14" s="215">
        <v>39</v>
      </c>
      <c r="Z14" s="215">
        <v>34</v>
      </c>
      <c r="AA14" s="215">
        <v>14</v>
      </c>
      <c r="AB14" s="215">
        <v>2</v>
      </c>
      <c r="AC14" s="215">
        <v>8</v>
      </c>
      <c r="AD14" s="215">
        <v>11</v>
      </c>
      <c r="AE14" s="580">
        <f t="shared" si="0"/>
        <v>310</v>
      </c>
      <c r="AF14" s="577">
        <f t="shared" si="1"/>
        <v>25.833333333333332</v>
      </c>
      <c r="AG14" s="47">
        <f t="shared" si="2"/>
        <v>814680000</v>
      </c>
      <c r="AH14" s="244">
        <f>AG14/1000000000</f>
        <v>0.81467999999999996</v>
      </c>
    </row>
    <row r="15" spans="1:34" ht="24.75" customHeight="1">
      <c r="A15" s="958"/>
      <c r="B15" s="953"/>
      <c r="C15" s="75" t="s">
        <v>30</v>
      </c>
      <c r="D15" s="161">
        <v>3</v>
      </c>
      <c r="E15" s="161">
        <v>16</v>
      </c>
      <c r="F15" s="161">
        <v>31</v>
      </c>
      <c r="G15" s="161">
        <v>47</v>
      </c>
      <c r="H15" s="161">
        <v>44</v>
      </c>
      <c r="I15" s="161">
        <v>67</v>
      </c>
      <c r="J15" s="161">
        <v>47</v>
      </c>
      <c r="K15" s="161">
        <v>19</v>
      </c>
      <c r="L15" s="161">
        <v>4</v>
      </c>
      <c r="M15" s="161">
        <v>2</v>
      </c>
      <c r="N15" s="161">
        <v>1</v>
      </c>
      <c r="O15" s="161">
        <v>1</v>
      </c>
      <c r="P15" s="590">
        <v>23.5</v>
      </c>
      <c r="Q15" s="591">
        <v>0.74109599999999998</v>
      </c>
      <c r="S15" s="161">
        <v>3</v>
      </c>
      <c r="T15" s="161">
        <v>16</v>
      </c>
      <c r="U15" s="161">
        <v>31</v>
      </c>
      <c r="V15" s="161">
        <v>47</v>
      </c>
      <c r="W15" s="161">
        <v>44</v>
      </c>
      <c r="X15" s="161">
        <v>67</v>
      </c>
      <c r="Y15" s="161">
        <v>47</v>
      </c>
      <c r="Z15" s="161">
        <v>19</v>
      </c>
      <c r="AA15" s="161">
        <v>4</v>
      </c>
      <c r="AB15" s="161">
        <v>2</v>
      </c>
      <c r="AC15" s="161">
        <v>1</v>
      </c>
      <c r="AD15" s="161">
        <v>1</v>
      </c>
      <c r="AE15" s="576">
        <f t="shared" si="0"/>
        <v>282</v>
      </c>
      <c r="AF15" s="577">
        <f t="shared" si="1"/>
        <v>23.5</v>
      </c>
      <c r="AG15" s="47">
        <f t="shared" si="2"/>
        <v>741096000</v>
      </c>
      <c r="AH15" s="244">
        <f>AG15/1000000000</f>
        <v>0.74109599999999998</v>
      </c>
    </row>
    <row r="16" spans="1:34" ht="24.75" customHeight="1" thickBot="1">
      <c r="A16" s="959"/>
      <c r="B16" s="960"/>
      <c r="C16" s="234" t="s">
        <v>270</v>
      </c>
      <c r="D16" s="871">
        <f>D14/D15*100</f>
        <v>500</v>
      </c>
      <c r="E16" s="871">
        <f t="shared" ref="E16:Q16" si="6">E14/E15*100</f>
        <v>131.25</v>
      </c>
      <c r="F16" s="871">
        <f t="shared" si="6"/>
        <v>167.74193548387098</v>
      </c>
      <c r="G16" s="871">
        <f t="shared" si="6"/>
        <v>57.446808510638306</v>
      </c>
      <c r="H16" s="871">
        <f t="shared" si="6"/>
        <v>75</v>
      </c>
      <c r="I16" s="871">
        <f t="shared" si="6"/>
        <v>80.597014925373131</v>
      </c>
      <c r="J16" s="871">
        <f t="shared" si="6"/>
        <v>82.978723404255319</v>
      </c>
      <c r="K16" s="871">
        <f t="shared" si="6"/>
        <v>178.94736842105263</v>
      </c>
      <c r="L16" s="871">
        <f t="shared" si="6"/>
        <v>350</v>
      </c>
      <c r="M16" s="871">
        <f t="shared" si="6"/>
        <v>100</v>
      </c>
      <c r="N16" s="871">
        <f t="shared" si="6"/>
        <v>800</v>
      </c>
      <c r="O16" s="871">
        <f t="shared" si="6"/>
        <v>1100</v>
      </c>
      <c r="P16" s="872">
        <f t="shared" si="6"/>
        <v>109.92907801418438</v>
      </c>
      <c r="Q16" s="608">
        <f t="shared" si="6"/>
        <v>109.92907801418438</v>
      </c>
      <c r="S16" s="614">
        <v>500</v>
      </c>
      <c r="T16" s="614">
        <v>131.25</v>
      </c>
      <c r="U16" s="614">
        <v>167.74193548387098</v>
      </c>
      <c r="V16" s="614">
        <v>57.446808510638306</v>
      </c>
      <c r="W16" s="614">
        <v>75</v>
      </c>
      <c r="X16" s="614">
        <v>80.597014925373131</v>
      </c>
      <c r="Y16" s="614">
        <v>82.978723404255319</v>
      </c>
      <c r="Z16" s="614">
        <v>178.94736842105263</v>
      </c>
      <c r="AA16" s="614">
        <v>350</v>
      </c>
      <c r="AB16" s="614">
        <v>100</v>
      </c>
      <c r="AC16" s="614">
        <v>800</v>
      </c>
      <c r="AD16" s="614">
        <v>1100</v>
      </c>
      <c r="AE16" s="614">
        <f t="shared" si="0"/>
        <v>3623.9618507451905</v>
      </c>
      <c r="AF16" s="577"/>
      <c r="AG16" s="47">
        <f t="shared" si="2"/>
        <v>0</v>
      </c>
      <c r="AH16" s="582"/>
    </row>
    <row r="17" spans="1:34" ht="15.75" customHeight="1" thickTop="1">
      <c r="A17" s="2"/>
      <c r="B17" s="4"/>
      <c r="C17" s="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05" t="s">
        <v>271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580"/>
      <c r="AF17" s="576"/>
    </row>
    <row r="18" spans="1:34" ht="15" customHeight="1">
      <c r="A18" s="961" t="s">
        <v>293</v>
      </c>
      <c r="B18" s="961"/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S18" s="244">
        <f>Q5+Q8+Q11</f>
        <v>24.232787999999999</v>
      </c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F18" s="48"/>
    </row>
    <row r="19" spans="1:34" ht="15" customHeight="1">
      <c r="A19" s="962" t="s">
        <v>272</v>
      </c>
      <c r="B19" s="962"/>
      <c r="C19" s="962"/>
      <c r="D19" s="962"/>
      <c r="E19" s="962"/>
      <c r="F19" s="962"/>
      <c r="G19" s="962"/>
      <c r="H19" s="962"/>
      <c r="I19" s="962"/>
      <c r="J19" s="962"/>
      <c r="K19" s="962"/>
      <c r="L19" s="962"/>
      <c r="M19" s="962"/>
      <c r="N19" s="962"/>
      <c r="O19" s="962"/>
      <c r="P19" s="962"/>
      <c r="Q19" s="962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48"/>
      <c r="AF19" s="48"/>
    </row>
    <row r="20" spans="1:34" ht="3.75" customHeight="1"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F20" s="48"/>
    </row>
    <row r="21" spans="1:34">
      <c r="A21" s="963" t="s">
        <v>7</v>
      </c>
      <c r="B21" s="963"/>
      <c r="C21" s="963"/>
      <c r="D21" s="963"/>
      <c r="E21" s="963"/>
      <c r="F21" s="963"/>
      <c r="G21" s="963"/>
      <c r="H21" s="963"/>
      <c r="I21" s="963"/>
      <c r="J21" s="963"/>
      <c r="K21" s="963"/>
      <c r="L21" s="963"/>
      <c r="M21" s="963"/>
      <c r="AF21" s="48"/>
    </row>
    <row r="22" spans="1:34">
      <c r="A22" s="250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AF22" s="48"/>
    </row>
    <row r="23" spans="1:34" ht="24" customHeight="1">
      <c r="A23" s="945" t="s">
        <v>287</v>
      </c>
      <c r="B23" s="945"/>
      <c r="C23" s="945"/>
      <c r="D23" s="945"/>
      <c r="E23" s="945"/>
      <c r="F23" s="159"/>
      <c r="G23" s="159"/>
      <c r="H23" s="159"/>
      <c r="I23" s="160"/>
      <c r="J23" s="159"/>
      <c r="K23" s="159"/>
      <c r="L23" s="159"/>
      <c r="M23" s="159"/>
      <c r="N23" s="159"/>
      <c r="O23" s="159"/>
      <c r="P23" s="159"/>
      <c r="Q23" s="63">
        <v>23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F23" s="48"/>
      <c r="AG23" s="244"/>
    </row>
    <row r="24" spans="1:34" ht="24.75" customHeight="1">
      <c r="A24" s="947" t="s">
        <v>741</v>
      </c>
      <c r="B24" s="947"/>
      <c r="C24" s="947"/>
      <c r="D24" s="947"/>
      <c r="E24" s="947"/>
      <c r="F24" s="947"/>
      <c r="G24" s="947"/>
      <c r="H24" s="947"/>
      <c r="I24" s="947"/>
      <c r="J24" s="947"/>
      <c r="K24" s="947"/>
      <c r="L24" s="947"/>
      <c r="M24" s="947"/>
      <c r="N24" s="947"/>
      <c r="O24" s="947"/>
      <c r="P24" s="947"/>
      <c r="Q24" s="9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1:34" ht="22.5" customHeight="1" thickBot="1">
      <c r="A25" s="948" t="s">
        <v>303</v>
      </c>
      <c r="B25" s="948"/>
      <c r="C25" s="948"/>
      <c r="D25" s="948"/>
      <c r="E25" s="948"/>
      <c r="F25" s="948"/>
      <c r="G25" s="948"/>
      <c r="H25" s="948"/>
      <c r="I25" s="948"/>
      <c r="J25" s="948"/>
      <c r="K25" s="948"/>
      <c r="L25" s="948"/>
      <c r="M25" s="948"/>
      <c r="N25" s="948"/>
      <c r="O25" s="948"/>
      <c r="P25" s="948"/>
      <c r="Q25" s="948"/>
    </row>
    <row r="26" spans="1:34" ht="29.25" customHeight="1" thickTop="1">
      <c r="A26" s="966" t="s">
        <v>14</v>
      </c>
      <c r="B26" s="968" t="s">
        <v>451</v>
      </c>
      <c r="C26" s="968" t="s">
        <v>15</v>
      </c>
      <c r="D26" s="970" t="s">
        <v>296</v>
      </c>
      <c r="E26" s="970"/>
      <c r="F26" s="970"/>
      <c r="G26" s="970"/>
      <c r="H26" s="970"/>
      <c r="I26" s="970"/>
      <c r="J26" s="970"/>
      <c r="K26" s="970"/>
      <c r="L26" s="970"/>
      <c r="M26" s="970"/>
      <c r="N26" s="970"/>
      <c r="O26" s="970"/>
      <c r="P26" s="645" t="s">
        <v>452</v>
      </c>
      <c r="Q26" s="645" t="s">
        <v>454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4" ht="29.25" customHeight="1">
      <c r="A27" s="967"/>
      <c r="B27" s="969"/>
      <c r="C27" s="969"/>
      <c r="D27" s="259" t="s">
        <v>16</v>
      </c>
      <c r="E27" s="259" t="s">
        <v>17</v>
      </c>
      <c r="F27" s="259" t="s">
        <v>18</v>
      </c>
      <c r="G27" s="259" t="s">
        <v>19</v>
      </c>
      <c r="H27" s="259" t="s">
        <v>20</v>
      </c>
      <c r="I27" s="259" t="s">
        <v>21</v>
      </c>
      <c r="J27" s="259" t="s">
        <v>22</v>
      </c>
      <c r="K27" s="259" t="s">
        <v>23</v>
      </c>
      <c r="L27" s="259" t="s">
        <v>24</v>
      </c>
      <c r="M27" s="259" t="s">
        <v>25</v>
      </c>
      <c r="N27" s="259" t="s">
        <v>26</v>
      </c>
      <c r="O27" s="259" t="s">
        <v>27</v>
      </c>
      <c r="P27" s="646" t="s">
        <v>453</v>
      </c>
      <c r="Q27" s="646" t="s">
        <v>455</v>
      </c>
    </row>
    <row r="28" spans="1:34" ht="24.75" customHeight="1">
      <c r="A28" s="949" t="s">
        <v>34</v>
      </c>
      <c r="B28" s="952" t="s">
        <v>267</v>
      </c>
      <c r="C28" s="231" t="s">
        <v>29</v>
      </c>
      <c r="D28" s="248">
        <v>33</v>
      </c>
      <c r="E28" s="248">
        <v>22</v>
      </c>
      <c r="F28" s="248">
        <v>56</v>
      </c>
      <c r="G28" s="248">
        <v>41</v>
      </c>
      <c r="H28" s="248">
        <v>89</v>
      </c>
      <c r="I28" s="248">
        <v>191</v>
      </c>
      <c r="J28" s="248">
        <v>251</v>
      </c>
      <c r="K28" s="248">
        <v>111</v>
      </c>
      <c r="L28" s="248">
        <v>47</v>
      </c>
      <c r="M28" s="248">
        <v>29</v>
      </c>
      <c r="N28" s="248">
        <v>22</v>
      </c>
      <c r="O28" s="85">
        <v>29</v>
      </c>
      <c r="P28" s="452">
        <v>76.75</v>
      </c>
      <c r="Q28" s="589">
        <v>2.420388</v>
      </c>
      <c r="S28" s="248">
        <v>33</v>
      </c>
      <c r="T28" s="248">
        <v>22</v>
      </c>
      <c r="U28" s="248">
        <v>56</v>
      </c>
      <c r="V28" s="248">
        <v>41</v>
      </c>
      <c r="W28" s="248">
        <v>89</v>
      </c>
      <c r="X28" s="248">
        <v>191</v>
      </c>
      <c r="Y28" s="248">
        <v>251</v>
      </c>
      <c r="Z28" s="248">
        <v>111</v>
      </c>
      <c r="AA28" s="248">
        <v>47</v>
      </c>
      <c r="AB28" s="248">
        <v>29</v>
      </c>
      <c r="AC28" s="248">
        <v>22</v>
      </c>
      <c r="AD28" s="85">
        <v>29</v>
      </c>
      <c r="AE28" s="575">
        <f>SUM(S28:AD28)</f>
        <v>921</v>
      </c>
      <c r="AF28" s="577">
        <f>AE28/12</f>
        <v>76.75</v>
      </c>
      <c r="AG28" s="575">
        <f>AF28*60*60*24*365</f>
        <v>2420388000</v>
      </c>
      <c r="AH28" s="577">
        <f>AG28/1000000000</f>
        <v>2.420388</v>
      </c>
    </row>
    <row r="29" spans="1:34" ht="24.75" customHeight="1">
      <c r="A29" s="950"/>
      <c r="B29" s="953"/>
      <c r="C29" s="75" t="s">
        <v>30</v>
      </c>
      <c r="D29" s="89">
        <v>56</v>
      </c>
      <c r="E29" s="89">
        <v>101</v>
      </c>
      <c r="F29" s="89">
        <v>140</v>
      </c>
      <c r="G29" s="89">
        <v>198</v>
      </c>
      <c r="H29" s="89">
        <v>273</v>
      </c>
      <c r="I29" s="89">
        <v>413</v>
      </c>
      <c r="J29" s="89">
        <v>420</v>
      </c>
      <c r="K29" s="89">
        <v>220</v>
      </c>
      <c r="L29" s="89">
        <v>97</v>
      </c>
      <c r="M29" s="89">
        <v>65</v>
      </c>
      <c r="N29" s="89">
        <v>57</v>
      </c>
      <c r="O29" s="89">
        <v>52</v>
      </c>
      <c r="P29" s="590">
        <v>174.33333333333334</v>
      </c>
      <c r="Q29" s="591">
        <v>5.497776</v>
      </c>
      <c r="S29" s="89">
        <v>56</v>
      </c>
      <c r="T29" s="89">
        <v>101</v>
      </c>
      <c r="U29" s="89">
        <v>140</v>
      </c>
      <c r="V29" s="89">
        <v>198</v>
      </c>
      <c r="W29" s="89">
        <v>273</v>
      </c>
      <c r="X29" s="89">
        <v>413</v>
      </c>
      <c r="Y29" s="89">
        <v>420</v>
      </c>
      <c r="Z29" s="89">
        <v>220</v>
      </c>
      <c r="AA29" s="89">
        <v>97</v>
      </c>
      <c r="AB29" s="89">
        <v>65</v>
      </c>
      <c r="AC29" s="89">
        <v>57</v>
      </c>
      <c r="AD29" s="89">
        <v>52</v>
      </c>
      <c r="AE29" s="78">
        <f>SUM(S29:AD29)</f>
        <v>2092</v>
      </c>
      <c r="AF29" s="577">
        <f>AE29/12</f>
        <v>174.33333333333334</v>
      </c>
      <c r="AG29" s="575">
        <f>AF29*60*60*24*365</f>
        <v>5497776000</v>
      </c>
      <c r="AH29" s="577">
        <f>AG29/1000000000</f>
        <v>5.497776</v>
      </c>
    </row>
    <row r="30" spans="1:34" ht="24.75" customHeight="1">
      <c r="A30" s="951"/>
      <c r="B30" s="954"/>
      <c r="C30" s="233" t="s">
        <v>270</v>
      </c>
      <c r="D30" s="149">
        <f>D28/D29*100</f>
        <v>58.928571428571431</v>
      </c>
      <c r="E30" s="149">
        <f t="shared" ref="E30:Q30" si="7">E28/E29*100</f>
        <v>21.782178217821784</v>
      </c>
      <c r="F30" s="149">
        <f t="shared" si="7"/>
        <v>40</v>
      </c>
      <c r="G30" s="149">
        <f t="shared" si="7"/>
        <v>20.707070707070706</v>
      </c>
      <c r="H30" s="149">
        <f t="shared" si="7"/>
        <v>32.600732600732599</v>
      </c>
      <c r="I30" s="149">
        <f t="shared" si="7"/>
        <v>46.246973365617436</v>
      </c>
      <c r="J30" s="149">
        <f t="shared" si="7"/>
        <v>59.761904761904759</v>
      </c>
      <c r="K30" s="149">
        <f t="shared" si="7"/>
        <v>50.454545454545453</v>
      </c>
      <c r="L30" s="149">
        <f t="shared" si="7"/>
        <v>48.453608247422679</v>
      </c>
      <c r="M30" s="149">
        <f t="shared" si="7"/>
        <v>44.61538461538462</v>
      </c>
      <c r="N30" s="149">
        <f t="shared" si="7"/>
        <v>38.596491228070171</v>
      </c>
      <c r="O30" s="149">
        <f t="shared" si="7"/>
        <v>55.769230769230774</v>
      </c>
      <c r="P30" s="607">
        <f t="shared" si="7"/>
        <v>44.024856596558315</v>
      </c>
      <c r="Q30" s="607">
        <f t="shared" si="7"/>
        <v>44.024856596558315</v>
      </c>
      <c r="S30" s="251">
        <f>S28/S29*100</f>
        <v>58.928571428571431</v>
      </c>
      <c r="T30" s="251">
        <f t="shared" ref="T30:AH30" si="8">T28/T29*100</f>
        <v>21.782178217821784</v>
      </c>
      <c r="U30" s="251">
        <f t="shared" si="8"/>
        <v>40</v>
      </c>
      <c r="V30" s="251">
        <f t="shared" si="8"/>
        <v>20.707070707070706</v>
      </c>
      <c r="W30" s="251">
        <f t="shared" si="8"/>
        <v>32.600732600732599</v>
      </c>
      <c r="X30" s="251">
        <f t="shared" si="8"/>
        <v>46.246973365617436</v>
      </c>
      <c r="Y30" s="251">
        <f t="shared" si="8"/>
        <v>59.761904761904759</v>
      </c>
      <c r="Z30" s="251">
        <f t="shared" si="8"/>
        <v>50.454545454545453</v>
      </c>
      <c r="AA30" s="251">
        <f t="shared" si="8"/>
        <v>48.453608247422679</v>
      </c>
      <c r="AB30" s="251">
        <f t="shared" si="8"/>
        <v>44.61538461538462</v>
      </c>
      <c r="AC30" s="251">
        <f t="shared" si="8"/>
        <v>38.596491228070171</v>
      </c>
      <c r="AD30" s="251">
        <f t="shared" si="8"/>
        <v>55.769230769230774</v>
      </c>
      <c r="AE30" s="251">
        <f t="shared" si="8"/>
        <v>44.024856596558315</v>
      </c>
      <c r="AF30" s="603">
        <f t="shared" si="8"/>
        <v>44.024856596558315</v>
      </c>
      <c r="AG30" s="251">
        <f t="shared" si="8"/>
        <v>44.024856596558315</v>
      </c>
      <c r="AH30" s="251">
        <f t="shared" si="8"/>
        <v>44.024856596558315</v>
      </c>
    </row>
    <row r="31" spans="1:34" ht="24.75" customHeight="1">
      <c r="A31" s="949" t="s">
        <v>35</v>
      </c>
      <c r="B31" s="952" t="s">
        <v>38</v>
      </c>
      <c r="C31" s="231" t="s">
        <v>29</v>
      </c>
      <c r="D31" s="90">
        <f>D5+D8+D11</f>
        <v>197</v>
      </c>
      <c r="E31" s="90">
        <f t="shared" ref="E31:O31" si="9">E5+E8+E11</f>
        <v>366</v>
      </c>
      <c r="F31" s="90">
        <f t="shared" si="9"/>
        <v>767</v>
      </c>
      <c r="G31" s="90">
        <f t="shared" si="9"/>
        <v>487</v>
      </c>
      <c r="H31" s="90">
        <f t="shared" si="9"/>
        <v>614</v>
      </c>
      <c r="I31" s="90">
        <f t="shared" si="9"/>
        <v>1289</v>
      </c>
      <c r="J31" s="90">
        <f t="shared" si="9"/>
        <v>2491</v>
      </c>
      <c r="K31" s="90">
        <f t="shared" si="9"/>
        <v>1540</v>
      </c>
      <c r="L31" s="90">
        <f t="shared" si="9"/>
        <v>636</v>
      </c>
      <c r="M31" s="90">
        <f t="shared" si="9"/>
        <v>325</v>
      </c>
      <c r="N31" s="90">
        <f t="shared" si="9"/>
        <v>294</v>
      </c>
      <c r="O31" s="90">
        <f t="shared" si="9"/>
        <v>215</v>
      </c>
      <c r="P31" s="452">
        <v>768.41666666666663</v>
      </c>
      <c r="Q31" s="589">
        <v>24.232787999999999</v>
      </c>
      <c r="S31" s="90">
        <v>197</v>
      </c>
      <c r="T31" s="90">
        <v>366</v>
      </c>
      <c r="U31" s="90">
        <v>767</v>
      </c>
      <c r="V31" s="90">
        <v>487</v>
      </c>
      <c r="W31" s="90">
        <v>614</v>
      </c>
      <c r="X31" s="90">
        <v>1289</v>
      </c>
      <c r="Y31" s="90">
        <v>2491</v>
      </c>
      <c r="Z31" s="90">
        <v>1540</v>
      </c>
      <c r="AA31" s="90">
        <v>636</v>
      </c>
      <c r="AB31" s="90">
        <v>325</v>
      </c>
      <c r="AC31" s="90">
        <v>294</v>
      </c>
      <c r="AD31" s="90">
        <v>215</v>
      </c>
      <c r="AE31" s="78">
        <f>SUM(S31:AD31)</f>
        <v>9221</v>
      </c>
      <c r="AF31" s="78">
        <f>AE31/12</f>
        <v>768.41666666666663</v>
      </c>
      <c r="AG31" s="575">
        <f t="shared" ref="AG31:AG38" si="10">AF31*60*60*24*365</f>
        <v>24232788000</v>
      </c>
      <c r="AH31" s="577">
        <f>AG31/1000000000</f>
        <v>24.232787999999999</v>
      </c>
    </row>
    <row r="32" spans="1:34" ht="24.75" customHeight="1">
      <c r="A32" s="950"/>
      <c r="B32" s="953"/>
      <c r="C32" s="75" t="s">
        <v>30</v>
      </c>
      <c r="D32" s="89">
        <f>D6+D9+D12</f>
        <v>380</v>
      </c>
      <c r="E32" s="89">
        <f t="shared" ref="E32:O32" si="11">E6+E9+E12</f>
        <v>587</v>
      </c>
      <c r="F32" s="89">
        <f t="shared" si="11"/>
        <v>847</v>
      </c>
      <c r="G32" s="89">
        <f t="shared" si="11"/>
        <v>1061</v>
      </c>
      <c r="H32" s="89">
        <f t="shared" si="11"/>
        <v>1546</v>
      </c>
      <c r="I32" s="89">
        <f t="shared" si="11"/>
        <v>2270</v>
      </c>
      <c r="J32" s="89">
        <f t="shared" si="11"/>
        <v>3177</v>
      </c>
      <c r="K32" s="89">
        <f t="shared" si="11"/>
        <v>2719</v>
      </c>
      <c r="L32" s="89">
        <f t="shared" si="11"/>
        <v>1369</v>
      </c>
      <c r="M32" s="89">
        <f t="shared" si="11"/>
        <v>660</v>
      </c>
      <c r="N32" s="89">
        <f t="shared" si="11"/>
        <v>406</v>
      </c>
      <c r="O32" s="89">
        <f t="shared" si="11"/>
        <v>332</v>
      </c>
      <c r="P32" s="590">
        <v>1279.5</v>
      </c>
      <c r="Q32" s="591">
        <v>40.350312000000002</v>
      </c>
      <c r="S32" s="161">
        <v>380</v>
      </c>
      <c r="T32" s="161">
        <v>587</v>
      </c>
      <c r="U32" s="161">
        <v>847</v>
      </c>
      <c r="V32" s="161">
        <v>1061</v>
      </c>
      <c r="W32" s="161">
        <v>1546</v>
      </c>
      <c r="X32" s="161">
        <v>2270</v>
      </c>
      <c r="Y32" s="161">
        <v>3177</v>
      </c>
      <c r="Z32" s="161">
        <v>2719</v>
      </c>
      <c r="AA32" s="161">
        <v>1369</v>
      </c>
      <c r="AB32" s="161">
        <v>660</v>
      </c>
      <c r="AC32" s="161">
        <v>406</v>
      </c>
      <c r="AD32" s="161">
        <v>332</v>
      </c>
      <c r="AE32" s="150">
        <f>SUM(S32:AD32)</f>
        <v>15354</v>
      </c>
      <c r="AF32" s="150">
        <f>AE32/12</f>
        <v>1279.5</v>
      </c>
      <c r="AG32" s="575">
        <f t="shared" si="10"/>
        <v>40350312000</v>
      </c>
      <c r="AH32" s="577">
        <f>AG32/1000000000</f>
        <v>40.350312000000002</v>
      </c>
    </row>
    <row r="33" spans="1:34" ht="24.75" customHeight="1">
      <c r="A33" s="951"/>
      <c r="B33" s="954"/>
      <c r="C33" s="233" t="s">
        <v>270</v>
      </c>
      <c r="D33" s="149">
        <f>D31/D32*100</f>
        <v>51.84210526315789</v>
      </c>
      <c r="E33" s="149">
        <f t="shared" ref="E33:Q33" si="12">E31/E32*100</f>
        <v>62.35093696763203</v>
      </c>
      <c r="F33" s="149">
        <f t="shared" si="12"/>
        <v>90.554899645808746</v>
      </c>
      <c r="G33" s="149">
        <f t="shared" si="12"/>
        <v>45.900094250706879</v>
      </c>
      <c r="H33" s="149">
        <f t="shared" si="12"/>
        <v>39.715394566623544</v>
      </c>
      <c r="I33" s="149">
        <f t="shared" si="12"/>
        <v>56.784140969162998</v>
      </c>
      <c r="J33" s="149">
        <f t="shared" si="12"/>
        <v>78.407302486622598</v>
      </c>
      <c r="K33" s="149">
        <f t="shared" si="12"/>
        <v>56.638470025744759</v>
      </c>
      <c r="L33" s="149">
        <f t="shared" si="12"/>
        <v>46.457268078889705</v>
      </c>
      <c r="M33" s="149">
        <f t="shared" si="12"/>
        <v>49.242424242424242</v>
      </c>
      <c r="N33" s="149">
        <f t="shared" si="12"/>
        <v>72.41379310344827</v>
      </c>
      <c r="O33" s="149">
        <f t="shared" si="12"/>
        <v>64.759036144578303</v>
      </c>
      <c r="P33" s="607">
        <f t="shared" si="12"/>
        <v>60.056011462810986</v>
      </c>
      <c r="Q33" s="607">
        <f t="shared" si="12"/>
        <v>60.056011462810986</v>
      </c>
      <c r="S33" s="578">
        <f>S31/S32*100</f>
        <v>51.84210526315789</v>
      </c>
      <c r="T33" s="578">
        <f t="shared" ref="T33:AD33" si="13">T31/T32*100</f>
        <v>62.35093696763203</v>
      </c>
      <c r="U33" s="578">
        <f t="shared" si="13"/>
        <v>90.554899645808746</v>
      </c>
      <c r="V33" s="578">
        <f t="shared" si="13"/>
        <v>45.900094250706879</v>
      </c>
      <c r="W33" s="578">
        <f t="shared" si="13"/>
        <v>39.715394566623544</v>
      </c>
      <c r="X33" s="578">
        <f t="shared" si="13"/>
        <v>56.784140969162998</v>
      </c>
      <c r="Y33" s="578">
        <f t="shared" si="13"/>
        <v>78.407302486622598</v>
      </c>
      <c r="Z33" s="578">
        <f t="shared" si="13"/>
        <v>56.638470025744759</v>
      </c>
      <c r="AA33" s="578">
        <f t="shared" si="13"/>
        <v>46.457268078889705</v>
      </c>
      <c r="AB33" s="578">
        <f t="shared" si="13"/>
        <v>49.242424242424242</v>
      </c>
      <c r="AC33" s="578">
        <f t="shared" si="13"/>
        <v>72.41379310344827</v>
      </c>
      <c r="AD33" s="578">
        <f t="shared" si="13"/>
        <v>64.759036144578303</v>
      </c>
      <c r="AE33" s="578"/>
      <c r="AF33" s="585">
        <f>AF31/AF32*100</f>
        <v>60.056011462810986</v>
      </c>
      <c r="AG33" s="578">
        <f t="shared" si="10"/>
        <v>1893926377.4912074</v>
      </c>
      <c r="AH33" s="585">
        <f>AH31/AH32*100</f>
        <v>60.056011462810986</v>
      </c>
    </row>
    <row r="34" spans="1:34" ht="24.75" customHeight="1">
      <c r="A34" s="949" t="s">
        <v>36</v>
      </c>
      <c r="B34" s="952" t="s">
        <v>434</v>
      </c>
      <c r="C34" s="231" t="s">
        <v>29</v>
      </c>
      <c r="D34" s="251">
        <f>D28+D31</f>
        <v>230</v>
      </c>
      <c r="E34" s="251">
        <f t="shared" ref="E34:O34" si="14">E28+E31</f>
        <v>388</v>
      </c>
      <c r="F34" s="251">
        <f t="shared" si="14"/>
        <v>823</v>
      </c>
      <c r="G34" s="251">
        <f t="shared" si="14"/>
        <v>528</v>
      </c>
      <c r="H34" s="251">
        <f t="shared" si="14"/>
        <v>703</v>
      </c>
      <c r="I34" s="251">
        <f t="shared" si="14"/>
        <v>1480</v>
      </c>
      <c r="J34" s="251">
        <f t="shared" si="14"/>
        <v>2742</v>
      </c>
      <c r="K34" s="251">
        <f t="shared" si="14"/>
        <v>1651</v>
      </c>
      <c r="L34" s="251">
        <f t="shared" si="14"/>
        <v>683</v>
      </c>
      <c r="M34" s="251">
        <f t="shared" si="14"/>
        <v>354</v>
      </c>
      <c r="N34" s="251">
        <f t="shared" si="14"/>
        <v>316</v>
      </c>
      <c r="O34" s="251">
        <f t="shared" si="14"/>
        <v>244</v>
      </c>
      <c r="P34" s="452">
        <v>845.16666666666663</v>
      </c>
      <c r="Q34" s="589">
        <v>26.653175999999998</v>
      </c>
      <c r="S34" s="91">
        <v>230</v>
      </c>
      <c r="T34" s="91">
        <v>388</v>
      </c>
      <c r="U34" s="91">
        <v>823</v>
      </c>
      <c r="V34" s="91">
        <v>528</v>
      </c>
      <c r="W34" s="91">
        <v>703</v>
      </c>
      <c r="X34" s="91">
        <v>1480</v>
      </c>
      <c r="Y34" s="91">
        <v>2742</v>
      </c>
      <c r="Z34" s="91">
        <v>1651</v>
      </c>
      <c r="AA34" s="91">
        <v>683</v>
      </c>
      <c r="AB34" s="91">
        <v>354</v>
      </c>
      <c r="AC34" s="91">
        <v>316</v>
      </c>
      <c r="AD34" s="91">
        <v>244</v>
      </c>
      <c r="AE34" s="576">
        <f>SUM(S34:AD34)</f>
        <v>10142</v>
      </c>
      <c r="AF34" s="583">
        <f>AE34/12</f>
        <v>845.16666666666663</v>
      </c>
      <c r="AG34" s="575">
        <f t="shared" si="10"/>
        <v>26653176000</v>
      </c>
      <c r="AH34" s="577">
        <f>AG34/1000000000</f>
        <v>26.653175999999998</v>
      </c>
    </row>
    <row r="35" spans="1:34" ht="24.75" customHeight="1">
      <c r="A35" s="950"/>
      <c r="B35" s="953"/>
      <c r="C35" s="75" t="s">
        <v>30</v>
      </c>
      <c r="D35" s="214">
        <f>D29+D32</f>
        <v>436</v>
      </c>
      <c r="E35" s="214">
        <f t="shared" ref="E35:O35" si="15">E29+E32</f>
        <v>688</v>
      </c>
      <c r="F35" s="214">
        <f t="shared" si="15"/>
        <v>987</v>
      </c>
      <c r="G35" s="214">
        <f t="shared" si="15"/>
        <v>1259</v>
      </c>
      <c r="H35" s="214">
        <f t="shared" si="15"/>
        <v>1819</v>
      </c>
      <c r="I35" s="214">
        <f t="shared" si="15"/>
        <v>2683</v>
      </c>
      <c r="J35" s="214">
        <f t="shared" si="15"/>
        <v>3597</v>
      </c>
      <c r="K35" s="214">
        <f t="shared" si="15"/>
        <v>2939</v>
      </c>
      <c r="L35" s="214">
        <f t="shared" si="15"/>
        <v>1466</v>
      </c>
      <c r="M35" s="214">
        <f t="shared" si="15"/>
        <v>725</v>
      </c>
      <c r="N35" s="214">
        <f t="shared" si="15"/>
        <v>463</v>
      </c>
      <c r="O35" s="214">
        <f t="shared" si="15"/>
        <v>384</v>
      </c>
      <c r="P35" s="590">
        <v>1453.8333333333333</v>
      </c>
      <c r="Q35" s="591">
        <v>45.848087999999997</v>
      </c>
      <c r="S35" s="584">
        <v>436</v>
      </c>
      <c r="T35" s="584">
        <v>688</v>
      </c>
      <c r="U35" s="584">
        <v>987</v>
      </c>
      <c r="V35" s="584">
        <v>1259</v>
      </c>
      <c r="W35" s="584">
        <v>1819</v>
      </c>
      <c r="X35" s="584">
        <v>2683</v>
      </c>
      <c r="Y35" s="584">
        <v>3597</v>
      </c>
      <c r="Z35" s="584">
        <v>2939</v>
      </c>
      <c r="AA35" s="584">
        <v>1466</v>
      </c>
      <c r="AB35" s="584">
        <v>725</v>
      </c>
      <c r="AC35" s="584">
        <v>463</v>
      </c>
      <c r="AD35" s="584">
        <v>384</v>
      </c>
      <c r="AE35" s="576">
        <f>SUM(S35:AD35)</f>
        <v>17446</v>
      </c>
      <c r="AF35" s="583">
        <f>AE35/12</f>
        <v>1453.8333333333333</v>
      </c>
      <c r="AG35" s="575">
        <f t="shared" si="10"/>
        <v>45848088000</v>
      </c>
      <c r="AH35" s="577">
        <f>AG35/1000000000</f>
        <v>45.848087999999997</v>
      </c>
    </row>
    <row r="36" spans="1:34" ht="24.75" customHeight="1">
      <c r="A36" s="951"/>
      <c r="B36" s="954"/>
      <c r="C36" s="233" t="s">
        <v>270</v>
      </c>
      <c r="D36" s="870">
        <f>D34/D35*100</f>
        <v>52.752293577981646</v>
      </c>
      <c r="E36" s="870">
        <f t="shared" ref="E36:Q36" si="16">E34/E35*100</f>
        <v>56.395348837209305</v>
      </c>
      <c r="F36" s="870">
        <f t="shared" si="16"/>
        <v>83.383991894630199</v>
      </c>
      <c r="G36" s="870">
        <f t="shared" si="16"/>
        <v>41.938046068308182</v>
      </c>
      <c r="H36" s="870">
        <f t="shared" si="16"/>
        <v>38.647608576140733</v>
      </c>
      <c r="I36" s="870">
        <f t="shared" si="16"/>
        <v>55.162131941856131</v>
      </c>
      <c r="J36" s="870">
        <f t="shared" si="16"/>
        <v>76.230191826522102</v>
      </c>
      <c r="K36" s="870">
        <f t="shared" si="16"/>
        <v>56.175569921742088</v>
      </c>
      <c r="L36" s="870">
        <f t="shared" si="16"/>
        <v>46.589358799454303</v>
      </c>
      <c r="M36" s="870">
        <f t="shared" si="16"/>
        <v>48.827586206896548</v>
      </c>
      <c r="N36" s="870">
        <f t="shared" si="16"/>
        <v>68.250539956803465</v>
      </c>
      <c r="O36" s="870">
        <f t="shared" si="16"/>
        <v>63.541666666666664</v>
      </c>
      <c r="P36" s="607">
        <f t="shared" si="16"/>
        <v>58.13366960907944</v>
      </c>
      <c r="Q36" s="607">
        <f t="shared" si="16"/>
        <v>58.13366960907944</v>
      </c>
      <c r="S36" s="578">
        <f>S34/S35*100</f>
        <v>52.752293577981646</v>
      </c>
      <c r="T36" s="578">
        <f t="shared" ref="T36:AD36" si="17">T34/T35*100</f>
        <v>56.395348837209305</v>
      </c>
      <c r="U36" s="578">
        <f t="shared" si="17"/>
        <v>83.383991894630199</v>
      </c>
      <c r="V36" s="578">
        <f t="shared" si="17"/>
        <v>41.938046068308182</v>
      </c>
      <c r="W36" s="578">
        <f t="shared" si="17"/>
        <v>38.647608576140733</v>
      </c>
      <c r="X36" s="578">
        <f t="shared" si="17"/>
        <v>55.162131941856131</v>
      </c>
      <c r="Y36" s="578">
        <f t="shared" si="17"/>
        <v>76.230191826522102</v>
      </c>
      <c r="Z36" s="578">
        <f t="shared" si="17"/>
        <v>56.175569921742088</v>
      </c>
      <c r="AA36" s="578">
        <f t="shared" si="17"/>
        <v>46.589358799454303</v>
      </c>
      <c r="AB36" s="578">
        <f t="shared" si="17"/>
        <v>48.827586206896548</v>
      </c>
      <c r="AC36" s="578">
        <f t="shared" si="17"/>
        <v>68.250539956803465</v>
      </c>
      <c r="AD36" s="578">
        <f t="shared" si="17"/>
        <v>63.541666666666664</v>
      </c>
      <c r="AE36" s="586"/>
      <c r="AF36" s="585">
        <f>AF34/AF35*100</f>
        <v>58.13366960907944</v>
      </c>
      <c r="AG36" s="586">
        <f t="shared" si="10"/>
        <v>1833303404.7919295</v>
      </c>
      <c r="AH36" s="585">
        <f>AH34/AH35*100</f>
        <v>58.13366960907944</v>
      </c>
    </row>
    <row r="37" spans="1:34" ht="24.75" customHeight="1">
      <c r="A37" s="949" t="s">
        <v>37</v>
      </c>
      <c r="B37" s="955" t="s">
        <v>274</v>
      </c>
      <c r="C37" s="232" t="s">
        <v>29</v>
      </c>
      <c r="D37" s="213">
        <v>345</v>
      </c>
      <c r="E37" s="213">
        <v>560</v>
      </c>
      <c r="F37" s="213">
        <v>575</v>
      </c>
      <c r="G37" s="213">
        <v>650</v>
      </c>
      <c r="H37" s="213">
        <v>750</v>
      </c>
      <c r="I37" s="213">
        <v>425</v>
      </c>
      <c r="J37" s="213">
        <v>140</v>
      </c>
      <c r="K37" s="213">
        <v>200</v>
      </c>
      <c r="L37" s="213">
        <v>530</v>
      </c>
      <c r="M37" s="213">
        <v>280</v>
      </c>
      <c r="N37" s="213">
        <v>330</v>
      </c>
      <c r="O37" s="620">
        <v>250</v>
      </c>
      <c r="P37" s="452">
        <v>419.58333333333331</v>
      </c>
      <c r="Q37" s="589">
        <v>13.23198</v>
      </c>
      <c r="S37" s="213">
        <v>345</v>
      </c>
      <c r="T37" s="213">
        <v>560</v>
      </c>
      <c r="U37" s="213">
        <v>575</v>
      </c>
      <c r="V37" s="213">
        <v>650</v>
      </c>
      <c r="W37" s="213">
        <v>750</v>
      </c>
      <c r="X37" s="213">
        <v>425</v>
      </c>
      <c r="Y37" s="213">
        <v>140</v>
      </c>
      <c r="Z37" s="213">
        <v>200</v>
      </c>
      <c r="AA37" s="213">
        <v>530</v>
      </c>
      <c r="AB37" s="213">
        <v>280</v>
      </c>
      <c r="AC37" s="213">
        <v>330</v>
      </c>
      <c r="AD37" s="620">
        <v>250</v>
      </c>
      <c r="AE37" s="575">
        <f>SUM(S37:AD37)</f>
        <v>5035</v>
      </c>
      <c r="AF37" s="577">
        <f>AE37/12</f>
        <v>419.58333333333331</v>
      </c>
      <c r="AG37" s="575">
        <f t="shared" si="10"/>
        <v>13231980000</v>
      </c>
      <c r="AH37" s="577">
        <f>AG37/1000000000</f>
        <v>13.23198</v>
      </c>
    </row>
    <row r="38" spans="1:34" ht="24.75" customHeight="1">
      <c r="A38" s="950"/>
      <c r="B38" s="956"/>
      <c r="C38" s="75" t="s">
        <v>30</v>
      </c>
      <c r="D38" s="81">
        <v>477</v>
      </c>
      <c r="E38" s="81">
        <v>603</v>
      </c>
      <c r="F38" s="81">
        <v>703</v>
      </c>
      <c r="G38" s="81">
        <v>770</v>
      </c>
      <c r="H38" s="81">
        <v>817</v>
      </c>
      <c r="I38" s="81">
        <v>683</v>
      </c>
      <c r="J38" s="81">
        <v>519</v>
      </c>
      <c r="K38" s="81">
        <v>475</v>
      </c>
      <c r="L38" s="81">
        <v>417</v>
      </c>
      <c r="M38" s="81">
        <v>499</v>
      </c>
      <c r="N38" s="81">
        <v>518</v>
      </c>
      <c r="O38" s="81">
        <v>463</v>
      </c>
      <c r="P38" s="590">
        <v>578.66666666666663</v>
      </c>
      <c r="Q38" s="591">
        <v>18.248832</v>
      </c>
      <c r="S38" s="81">
        <v>477</v>
      </c>
      <c r="T38" s="81">
        <v>603</v>
      </c>
      <c r="U38" s="81">
        <v>703</v>
      </c>
      <c r="V38" s="81">
        <v>770</v>
      </c>
      <c r="W38" s="81">
        <v>817</v>
      </c>
      <c r="X38" s="81">
        <v>683</v>
      </c>
      <c r="Y38" s="81">
        <v>519</v>
      </c>
      <c r="Z38" s="81">
        <v>475</v>
      </c>
      <c r="AA38" s="81">
        <v>417</v>
      </c>
      <c r="AB38" s="81">
        <v>499</v>
      </c>
      <c r="AC38" s="81">
        <v>518</v>
      </c>
      <c r="AD38" s="81">
        <v>463</v>
      </c>
      <c r="AE38" s="575">
        <f>SUM(S38:AD38)</f>
        <v>6944</v>
      </c>
      <c r="AF38" s="577">
        <f>AE38/12</f>
        <v>578.66666666666663</v>
      </c>
      <c r="AG38" s="575">
        <f t="shared" si="10"/>
        <v>18248832000</v>
      </c>
      <c r="AH38" s="577">
        <f>AG38/1000000000</f>
        <v>18.248832</v>
      </c>
    </row>
    <row r="39" spans="1:34" ht="24.75" customHeight="1" thickBot="1">
      <c r="A39" s="965"/>
      <c r="B39" s="964"/>
      <c r="C39" s="234" t="s">
        <v>270</v>
      </c>
      <c r="D39" s="873">
        <f>D37/D38*100</f>
        <v>72.327044025157221</v>
      </c>
      <c r="E39" s="873">
        <f t="shared" ref="E39:Q39" si="18">E37/E38*100</f>
        <v>92.868988391376448</v>
      </c>
      <c r="F39" s="873">
        <f t="shared" si="18"/>
        <v>81.792318634423893</v>
      </c>
      <c r="G39" s="873">
        <f t="shared" si="18"/>
        <v>84.415584415584405</v>
      </c>
      <c r="H39" s="873">
        <f t="shared" si="18"/>
        <v>91.799265605875163</v>
      </c>
      <c r="I39" s="873">
        <f t="shared" si="18"/>
        <v>62.225475841874086</v>
      </c>
      <c r="J39" s="873">
        <f t="shared" si="18"/>
        <v>26.97495183044316</v>
      </c>
      <c r="K39" s="873">
        <f t="shared" si="18"/>
        <v>42.105263157894733</v>
      </c>
      <c r="L39" s="873">
        <f t="shared" si="18"/>
        <v>127.09832134292567</v>
      </c>
      <c r="M39" s="873">
        <f t="shared" si="18"/>
        <v>56.112224448897798</v>
      </c>
      <c r="N39" s="873">
        <f t="shared" si="18"/>
        <v>63.706563706563699</v>
      </c>
      <c r="O39" s="873">
        <f t="shared" si="18"/>
        <v>53.995680345572353</v>
      </c>
      <c r="P39" s="608">
        <f t="shared" si="18"/>
        <v>72.508640552995402</v>
      </c>
      <c r="Q39" s="608">
        <f t="shared" si="18"/>
        <v>72.508640552995402</v>
      </c>
      <c r="S39" s="89">
        <f>S37/S38*100</f>
        <v>72.327044025157221</v>
      </c>
      <c r="T39" s="89">
        <f t="shared" ref="T39:AH39" si="19">T37/T38*100</f>
        <v>92.868988391376448</v>
      </c>
      <c r="U39" s="89">
        <f t="shared" si="19"/>
        <v>81.792318634423893</v>
      </c>
      <c r="V39" s="89">
        <f t="shared" si="19"/>
        <v>84.415584415584405</v>
      </c>
      <c r="W39" s="89">
        <f t="shared" si="19"/>
        <v>91.799265605875163</v>
      </c>
      <c r="X39" s="89">
        <f t="shared" si="19"/>
        <v>62.225475841874086</v>
      </c>
      <c r="Y39" s="89">
        <f t="shared" si="19"/>
        <v>26.97495183044316</v>
      </c>
      <c r="Z39" s="89">
        <f t="shared" si="19"/>
        <v>42.105263157894733</v>
      </c>
      <c r="AA39" s="89">
        <f t="shared" si="19"/>
        <v>127.09832134292567</v>
      </c>
      <c r="AB39" s="89">
        <f t="shared" si="19"/>
        <v>56.112224448897798</v>
      </c>
      <c r="AC39" s="89">
        <f t="shared" si="19"/>
        <v>63.706563706563699</v>
      </c>
      <c r="AD39" s="89">
        <f t="shared" si="19"/>
        <v>53.995680345572353</v>
      </c>
      <c r="AE39" s="89">
        <f t="shared" si="19"/>
        <v>72.508640552995402</v>
      </c>
      <c r="AF39" s="78">
        <f t="shared" si="19"/>
        <v>72.508640552995402</v>
      </c>
      <c r="AG39" s="89">
        <f t="shared" si="19"/>
        <v>72.508640552995402</v>
      </c>
      <c r="AH39" s="89">
        <f t="shared" si="19"/>
        <v>72.508640552995402</v>
      </c>
    </row>
    <row r="40" spans="1:34" ht="7.5" customHeight="1" thickTop="1">
      <c r="A40" s="2"/>
      <c r="B40" s="4"/>
      <c r="C40" s="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34" ht="15.75" customHeight="1">
      <c r="A41" s="961" t="s">
        <v>435</v>
      </c>
      <c r="B41" s="961"/>
      <c r="C41" s="961"/>
      <c r="D41" s="961"/>
      <c r="E41" s="961"/>
      <c r="F41" s="961"/>
      <c r="G41" s="961"/>
      <c r="H41" s="961"/>
      <c r="I41" s="204"/>
      <c r="J41" s="204"/>
      <c r="K41" s="204"/>
      <c r="L41" s="204"/>
      <c r="M41" s="204"/>
      <c r="N41" s="204"/>
      <c r="O41" s="204"/>
      <c r="P41" s="204"/>
      <c r="Q41" s="204"/>
    </row>
    <row r="42" spans="1:34" ht="15" customHeight="1">
      <c r="A42" s="962" t="s">
        <v>273</v>
      </c>
      <c r="B42" s="962"/>
      <c r="C42" s="962"/>
      <c r="D42" s="962"/>
      <c r="E42" s="962"/>
      <c r="F42" s="962"/>
      <c r="G42" s="962"/>
      <c r="H42" s="962"/>
      <c r="I42" s="962"/>
      <c r="J42" s="962"/>
      <c r="K42" s="962"/>
      <c r="L42" s="962"/>
      <c r="M42" s="962"/>
      <c r="N42" s="962"/>
      <c r="O42" s="962"/>
      <c r="P42" s="962"/>
      <c r="Q42" s="962"/>
      <c r="AH42" s="244"/>
    </row>
    <row r="43" spans="1:34" ht="15" customHeight="1">
      <c r="A43" s="953" t="s">
        <v>7</v>
      </c>
      <c r="B43" s="953"/>
      <c r="C43" s="953"/>
      <c r="D43" s="953"/>
      <c r="E43" s="953"/>
      <c r="F43" s="953"/>
      <c r="G43" s="953"/>
      <c r="H43" s="953"/>
      <c r="I43" s="953"/>
      <c r="J43" s="953"/>
      <c r="K43" s="953"/>
      <c r="L43" s="953"/>
      <c r="M43" s="953"/>
      <c r="N43" s="953"/>
      <c r="O43" s="953"/>
      <c r="P43" s="953"/>
      <c r="Q43" s="953"/>
      <c r="S43" s="3" t="b">
        <f>Q31=R25=S27</f>
        <v>1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4" ht="20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34" ht="19.5" customHeight="1">
      <c r="A45" s="945" t="s">
        <v>287</v>
      </c>
      <c r="B45" s="945"/>
      <c r="C45" s="945"/>
      <c r="D45" s="945"/>
      <c r="E45" s="945"/>
      <c r="F45" s="159"/>
      <c r="G45" s="159"/>
      <c r="H45" s="159"/>
      <c r="I45" s="235"/>
      <c r="J45" s="159"/>
      <c r="K45" s="159"/>
      <c r="L45" s="159"/>
      <c r="M45" s="159"/>
      <c r="N45" s="159"/>
      <c r="O45" s="159"/>
      <c r="P45" s="159"/>
      <c r="Q45" s="63">
        <v>24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F45" s="48"/>
    </row>
    <row r="47" spans="1:34">
      <c r="H47">
        <f>24.23+2.42+0.81+13.23</f>
        <v>40.69</v>
      </c>
    </row>
    <row r="48" spans="1:34">
      <c r="A48" t="s">
        <v>39</v>
      </c>
      <c r="C48" s="13">
        <f>Q14+Q34+Q37</f>
        <v>40.699835999999998</v>
      </c>
      <c r="D48" s="849">
        <f>Q5+Q8+Q11+Q14+Q28+Q37</f>
        <v>40.699835999999998</v>
      </c>
    </row>
  </sheetData>
  <mergeCells count="37">
    <mergeCell ref="A3:A4"/>
    <mergeCell ref="B3:B4"/>
    <mergeCell ref="C3:C4"/>
    <mergeCell ref="D3:O3"/>
    <mergeCell ref="A23:E23"/>
    <mergeCell ref="A43:L43"/>
    <mergeCell ref="M43:Q43"/>
    <mergeCell ref="A25:Q25"/>
    <mergeCell ref="A28:A30"/>
    <mergeCell ref="B28:B30"/>
    <mergeCell ref="B37:B39"/>
    <mergeCell ref="B31:B33"/>
    <mergeCell ref="A34:A36"/>
    <mergeCell ref="A41:H41"/>
    <mergeCell ref="A42:Q42"/>
    <mergeCell ref="B34:B36"/>
    <mergeCell ref="A37:A39"/>
    <mergeCell ref="A26:A27"/>
    <mergeCell ref="B26:B27"/>
    <mergeCell ref="C26:C27"/>
    <mergeCell ref="D26:O26"/>
    <mergeCell ref="A45:E45"/>
    <mergeCell ref="A1:Q1"/>
    <mergeCell ref="A2:Q2"/>
    <mergeCell ref="A5:A7"/>
    <mergeCell ref="B5:B7"/>
    <mergeCell ref="A31:A33"/>
    <mergeCell ref="B8:B10"/>
    <mergeCell ref="A11:A13"/>
    <mergeCell ref="B11:B13"/>
    <mergeCell ref="A14:A16"/>
    <mergeCell ref="B14:B16"/>
    <mergeCell ref="A18:P18"/>
    <mergeCell ref="A8:A10"/>
    <mergeCell ref="A19:Q19"/>
    <mergeCell ref="A24:Q24"/>
    <mergeCell ref="A21:M21"/>
  </mergeCells>
  <printOptions horizontalCentered="1"/>
  <pageMargins left="0.45" right="0.45" top="1" bottom="0.5" header="0.3" footer="0.3"/>
  <pageSetup paperSize="9" scale="9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W48"/>
  <sheetViews>
    <sheetView rightToLeft="1" view="pageBreakPreview" topLeftCell="K1" zoomScale="110" zoomScaleSheetLayoutView="110" workbookViewId="0">
      <selection activeCell="N18" sqref="N18"/>
    </sheetView>
  </sheetViews>
  <sheetFormatPr defaultColWidth="9.125" defaultRowHeight="14.25"/>
  <cols>
    <col min="1" max="1" width="1.25" style="764" customWidth="1"/>
    <col min="2" max="2" width="23.875" style="764" customWidth="1"/>
    <col min="3" max="5" width="15.125" style="764" customWidth="1"/>
    <col min="6" max="6" width="0.75" style="764" customWidth="1"/>
    <col min="7" max="7" width="15.125" style="764" customWidth="1"/>
    <col min="8" max="8" width="0.75" style="764" customWidth="1"/>
    <col min="9" max="9" width="15.125" style="764" customWidth="1"/>
    <col min="10" max="10" width="0.75" style="764" customWidth="1"/>
    <col min="11" max="11" width="15.125" style="764" customWidth="1"/>
    <col min="12" max="12" width="19" style="764" customWidth="1"/>
    <col min="13" max="15" width="14.625" style="764" customWidth="1"/>
    <col min="16" max="16" width="1" style="764" customWidth="1"/>
    <col min="17" max="17" width="14.625" style="764" customWidth="1"/>
    <col min="18" max="18" width="1" style="764" customWidth="1"/>
    <col min="19" max="19" width="14.625" style="764" customWidth="1"/>
    <col min="20" max="20" width="1" style="764" customWidth="1"/>
    <col min="21" max="21" width="14.625" style="764" customWidth="1"/>
    <col min="22" max="22" width="1" style="764" customWidth="1"/>
    <col min="23" max="23" width="14.625" style="764" customWidth="1"/>
    <col min="24" max="16384" width="9.125" style="764"/>
  </cols>
  <sheetData>
    <row r="1" spans="2:23" s="65" customFormat="1" ht="24.75" customHeight="1">
      <c r="B1" s="1125" t="s">
        <v>611</v>
      </c>
      <c r="C1" s="1125"/>
      <c r="D1" s="1125"/>
      <c r="E1" s="1125"/>
      <c r="F1" s="1125"/>
      <c r="G1" s="1125"/>
      <c r="H1" s="1125"/>
      <c r="I1" s="1125"/>
      <c r="J1" s="1125"/>
      <c r="K1" s="1125"/>
      <c r="L1" s="1125" t="s">
        <v>625</v>
      </c>
      <c r="M1" s="1125"/>
      <c r="N1" s="1125"/>
      <c r="O1" s="1125"/>
      <c r="P1" s="1125"/>
      <c r="Q1" s="1125"/>
      <c r="R1" s="1125"/>
      <c r="S1" s="1125"/>
      <c r="T1" s="1125"/>
      <c r="U1" s="1125"/>
      <c r="V1" s="1125"/>
      <c r="W1" s="1125"/>
    </row>
    <row r="2" spans="2:23" s="226" customFormat="1" ht="20.25" customHeight="1" thickBot="1">
      <c r="B2" s="1126" t="s">
        <v>686</v>
      </c>
      <c r="C2" s="1126"/>
      <c r="D2" s="1126"/>
      <c r="E2" s="1126"/>
      <c r="F2" s="1126"/>
      <c r="G2" s="1126"/>
      <c r="H2" s="1126"/>
      <c r="I2" s="1126"/>
      <c r="J2" s="1126"/>
      <c r="K2" s="1126"/>
      <c r="L2" s="948" t="s">
        <v>685</v>
      </c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</row>
    <row r="3" spans="2:23" s="15" customFormat="1" ht="22.5" customHeight="1" thickTop="1">
      <c r="B3" s="984" t="s">
        <v>245</v>
      </c>
      <c r="C3" s="984"/>
      <c r="D3" s="989" t="s">
        <v>141</v>
      </c>
      <c r="E3" s="989" t="s">
        <v>612</v>
      </c>
      <c r="F3" s="989"/>
      <c r="G3" s="989"/>
      <c r="H3" s="989"/>
      <c r="I3" s="989"/>
      <c r="J3" s="989"/>
      <c r="K3" s="989"/>
      <c r="L3" s="984" t="s">
        <v>245</v>
      </c>
      <c r="M3" s="984"/>
      <c r="N3" s="989" t="s">
        <v>141</v>
      </c>
      <c r="O3" s="989" t="s">
        <v>612</v>
      </c>
      <c r="P3" s="989"/>
      <c r="Q3" s="989"/>
      <c r="R3" s="989"/>
      <c r="S3" s="989"/>
      <c r="T3" s="989"/>
      <c r="U3" s="989"/>
      <c r="V3" s="989"/>
      <c r="W3" s="989"/>
    </row>
    <row r="4" spans="2:23" s="15" customFormat="1" ht="22.5" customHeight="1">
      <c r="B4" s="985"/>
      <c r="C4" s="985"/>
      <c r="D4" s="1129"/>
      <c r="E4" s="803" t="s">
        <v>613</v>
      </c>
      <c r="F4" s="759"/>
      <c r="G4" s="803" t="s">
        <v>614</v>
      </c>
      <c r="H4" s="759"/>
      <c r="I4" s="803" t="s">
        <v>615</v>
      </c>
      <c r="J4" s="759"/>
      <c r="K4" s="803" t="s">
        <v>616</v>
      </c>
      <c r="L4" s="992"/>
      <c r="M4" s="992"/>
      <c r="N4" s="990"/>
      <c r="O4" s="783" t="s">
        <v>626</v>
      </c>
      <c r="P4" s="784"/>
      <c r="Q4" s="783" t="s">
        <v>627</v>
      </c>
      <c r="R4" s="784"/>
      <c r="S4" s="783" t="s">
        <v>628</v>
      </c>
      <c r="T4" s="784"/>
      <c r="U4" s="783" t="s">
        <v>629</v>
      </c>
      <c r="V4" s="784"/>
      <c r="W4" s="783" t="s">
        <v>630</v>
      </c>
    </row>
    <row r="5" spans="2:23" s="15" customFormat="1" ht="22.5" customHeight="1">
      <c r="B5" s="758" t="s">
        <v>231</v>
      </c>
      <c r="C5" s="766" t="s">
        <v>152</v>
      </c>
      <c r="D5" s="767"/>
      <c r="E5" s="804">
        <v>7.4530000000000003</v>
      </c>
      <c r="F5" s="768">
        <v>7.6120000000000001</v>
      </c>
      <c r="G5" s="769">
        <v>7.6120000000000001</v>
      </c>
      <c r="H5" s="768"/>
      <c r="I5" s="769">
        <v>7.4349999999999996</v>
      </c>
      <c r="J5" s="768"/>
      <c r="K5" s="769">
        <v>7.4349999999999996</v>
      </c>
      <c r="L5" s="758" t="s">
        <v>231</v>
      </c>
      <c r="M5" s="766" t="s">
        <v>152</v>
      </c>
      <c r="N5" s="767"/>
      <c r="O5" s="785">
        <v>8.33</v>
      </c>
      <c r="P5" s="786"/>
      <c r="Q5" s="787">
        <v>8.4</v>
      </c>
      <c r="R5" s="786"/>
      <c r="S5" s="787">
        <v>8.4700000000000006</v>
      </c>
      <c r="T5" s="786"/>
      <c r="U5" s="788">
        <v>8.4</v>
      </c>
      <c r="V5" s="786"/>
      <c r="W5" s="785">
        <v>8.4700000000000006</v>
      </c>
    </row>
    <row r="6" spans="2:23" s="15" customFormat="1" ht="22.5" customHeight="1">
      <c r="B6" s="66" t="s">
        <v>233</v>
      </c>
      <c r="C6" s="3" t="s">
        <v>234</v>
      </c>
      <c r="D6" s="25" t="s">
        <v>151</v>
      </c>
      <c r="E6" s="600">
        <v>3550.2</v>
      </c>
      <c r="F6" s="770"/>
      <c r="G6" s="209">
        <v>1622.7</v>
      </c>
      <c r="H6" s="770"/>
      <c r="I6" s="209">
        <v>6719.6</v>
      </c>
      <c r="J6" s="770"/>
      <c r="K6" s="209">
        <v>4115</v>
      </c>
      <c r="L6" s="66" t="s">
        <v>281</v>
      </c>
      <c r="M6" s="3" t="s">
        <v>232</v>
      </c>
      <c r="N6" s="25" t="s">
        <v>151</v>
      </c>
      <c r="O6" s="453">
        <v>8.7799999999999994</v>
      </c>
      <c r="P6" s="789"/>
      <c r="Q6" s="790">
        <v>8.36</v>
      </c>
      <c r="R6" s="789"/>
      <c r="S6" s="790">
        <v>8.73</v>
      </c>
      <c r="T6" s="789"/>
      <c r="U6" s="790">
        <v>8.77</v>
      </c>
      <c r="V6" s="789"/>
      <c r="W6" s="453">
        <v>8.94</v>
      </c>
    </row>
    <row r="7" spans="2:23" s="15" customFormat="1" ht="22.5" customHeight="1">
      <c r="B7" s="66" t="s">
        <v>235</v>
      </c>
      <c r="C7" s="3" t="s">
        <v>236</v>
      </c>
      <c r="D7" s="25" t="s">
        <v>151</v>
      </c>
      <c r="E7" s="600">
        <v>5997.5</v>
      </c>
      <c r="F7" s="770"/>
      <c r="G7" s="209">
        <v>2715.7</v>
      </c>
      <c r="H7" s="770"/>
      <c r="I7" s="126">
        <v>11397</v>
      </c>
      <c r="J7" s="770"/>
      <c r="K7" s="126">
        <v>6968</v>
      </c>
      <c r="L7" s="66" t="s">
        <v>233</v>
      </c>
      <c r="M7" s="3" t="s">
        <v>234</v>
      </c>
      <c r="N7" s="25" t="s">
        <v>151</v>
      </c>
      <c r="O7" s="443">
        <v>5188</v>
      </c>
      <c r="P7" s="770"/>
      <c r="Q7" s="126">
        <v>5321</v>
      </c>
      <c r="R7" s="770"/>
      <c r="S7" s="126">
        <v>5575</v>
      </c>
      <c r="T7" s="770"/>
      <c r="U7" s="770">
        <v>5622</v>
      </c>
      <c r="V7" s="770"/>
      <c r="W7" s="443">
        <v>5562</v>
      </c>
    </row>
    <row r="8" spans="2:23" s="15" customFormat="1" ht="22.5" customHeight="1">
      <c r="B8" s="70" t="s">
        <v>237</v>
      </c>
      <c r="C8" s="3" t="s">
        <v>238</v>
      </c>
      <c r="D8" s="25" t="s">
        <v>151</v>
      </c>
      <c r="E8" s="774">
        <v>1.3683000000000001</v>
      </c>
      <c r="F8" s="771"/>
      <c r="G8" s="772">
        <v>1.2833000000000001</v>
      </c>
      <c r="H8" s="771"/>
      <c r="I8" s="772">
        <v>1.2991999999999999</v>
      </c>
      <c r="J8" s="771"/>
      <c r="K8" s="772">
        <v>1.17</v>
      </c>
      <c r="L8" s="70" t="s">
        <v>235</v>
      </c>
      <c r="M8" s="3" t="s">
        <v>236</v>
      </c>
      <c r="N8" s="25" t="s">
        <v>151</v>
      </c>
      <c r="O8" s="445">
        <v>7573</v>
      </c>
      <c r="P8" s="770"/>
      <c r="Q8" s="126">
        <v>7743</v>
      </c>
      <c r="R8" s="770"/>
      <c r="S8" s="126">
        <v>8069</v>
      </c>
      <c r="T8" s="770"/>
      <c r="U8" s="770">
        <v>8098</v>
      </c>
      <c r="V8" s="770"/>
      <c r="W8" s="445">
        <v>8065</v>
      </c>
    </row>
    <row r="9" spans="2:23" s="15" customFormat="1" ht="22.5" customHeight="1">
      <c r="B9" s="70" t="s">
        <v>239</v>
      </c>
      <c r="C9" s="3" t="s">
        <v>240</v>
      </c>
      <c r="D9" s="25" t="s">
        <v>151</v>
      </c>
      <c r="E9" s="774">
        <v>0.14330000000000001</v>
      </c>
      <c r="F9" s="771"/>
      <c r="G9" s="772">
        <v>9.3600000000000003E-2</v>
      </c>
      <c r="H9" s="771"/>
      <c r="I9" s="772">
        <v>4.5600000000000002E-2</v>
      </c>
      <c r="J9" s="771"/>
      <c r="K9" s="772">
        <v>6.9000000000000006E-2</v>
      </c>
      <c r="L9" s="67" t="s">
        <v>282</v>
      </c>
      <c r="M9" s="196" t="s">
        <v>251</v>
      </c>
      <c r="N9" s="763" t="s">
        <v>151</v>
      </c>
      <c r="O9" s="791">
        <v>640</v>
      </c>
      <c r="P9" s="792"/>
      <c r="Q9" s="793">
        <v>672</v>
      </c>
      <c r="R9" s="792"/>
      <c r="S9" s="793">
        <v>731</v>
      </c>
      <c r="T9" s="792"/>
      <c r="U9" s="792">
        <v>690</v>
      </c>
      <c r="V9" s="792"/>
      <c r="W9" s="791">
        <v>700</v>
      </c>
    </row>
    <row r="10" spans="2:23" s="15" customFormat="1" ht="22.5" customHeight="1">
      <c r="B10" s="66" t="s">
        <v>282</v>
      </c>
      <c r="C10" s="3" t="s">
        <v>251</v>
      </c>
      <c r="D10" s="25" t="s">
        <v>151</v>
      </c>
      <c r="E10" s="775">
        <v>816.17</v>
      </c>
      <c r="F10" s="770"/>
      <c r="G10" s="590">
        <v>382.17</v>
      </c>
      <c r="H10" s="770"/>
      <c r="I10" s="209">
        <v>1529.6</v>
      </c>
      <c r="J10" s="770"/>
      <c r="K10" s="209">
        <v>976.3</v>
      </c>
      <c r="L10" s="70" t="s">
        <v>237</v>
      </c>
      <c r="M10" s="3" t="s">
        <v>238</v>
      </c>
      <c r="N10" s="25" t="s">
        <v>151</v>
      </c>
      <c r="O10" s="775">
        <v>2.71</v>
      </c>
      <c r="P10" s="771"/>
      <c r="Q10" s="590">
        <v>2.57</v>
      </c>
      <c r="R10" s="777"/>
      <c r="S10" s="590">
        <v>2.64</v>
      </c>
      <c r="T10" s="771"/>
      <c r="U10" s="771">
        <v>2.95</v>
      </c>
      <c r="V10" s="771"/>
      <c r="W10" s="599">
        <v>3.14</v>
      </c>
    </row>
    <row r="11" spans="2:23" s="15" customFormat="1" ht="22.5" customHeight="1">
      <c r="B11" s="66" t="s">
        <v>241</v>
      </c>
      <c r="C11" s="3" t="s">
        <v>214</v>
      </c>
      <c r="D11" s="25" t="s">
        <v>151</v>
      </c>
      <c r="E11" s="775">
        <v>177.5</v>
      </c>
      <c r="F11" s="770"/>
      <c r="G11" s="776">
        <v>75.417000000000002</v>
      </c>
      <c r="H11" s="770"/>
      <c r="I11" s="590">
        <v>404.17</v>
      </c>
      <c r="J11" s="770"/>
      <c r="K11" s="590">
        <v>190.2</v>
      </c>
      <c r="L11" s="70" t="s">
        <v>239</v>
      </c>
      <c r="M11" s="3" t="s">
        <v>240</v>
      </c>
      <c r="N11" s="25" t="s">
        <v>151</v>
      </c>
      <c r="O11" s="775">
        <v>0.51</v>
      </c>
      <c r="P11" s="771"/>
      <c r="Q11" s="590">
        <v>0.49</v>
      </c>
      <c r="R11" s="771"/>
      <c r="S11" s="590">
        <v>0.55000000000000004</v>
      </c>
      <c r="T11" s="771"/>
      <c r="U11" s="794">
        <v>0.5</v>
      </c>
      <c r="V11" s="771"/>
      <c r="W11" s="775">
        <v>0.49</v>
      </c>
    </row>
    <row r="12" spans="2:23" s="15" customFormat="1" ht="22.5" customHeight="1">
      <c r="B12" s="66" t="s">
        <v>281</v>
      </c>
      <c r="C12" s="3" t="s">
        <v>232</v>
      </c>
      <c r="D12" s="25" t="s">
        <v>151</v>
      </c>
      <c r="E12" s="774">
        <v>5.4024999999999999</v>
      </c>
      <c r="F12" s="770"/>
      <c r="G12" s="772">
        <v>5.8174999999999999</v>
      </c>
      <c r="H12" s="770"/>
      <c r="I12" s="772">
        <v>5.2058</v>
      </c>
      <c r="J12" s="770"/>
      <c r="K12" s="772">
        <v>5.59</v>
      </c>
      <c r="L12" s="98" t="s">
        <v>241</v>
      </c>
      <c r="M12" s="795" t="s">
        <v>214</v>
      </c>
      <c r="N12" s="191" t="s">
        <v>151</v>
      </c>
      <c r="O12" s="796">
        <v>224</v>
      </c>
      <c r="P12" s="797"/>
      <c r="Q12" s="147">
        <v>216</v>
      </c>
      <c r="R12" s="797">
        <v>224</v>
      </c>
      <c r="S12" s="147">
        <v>226</v>
      </c>
      <c r="T12" s="797"/>
      <c r="U12" s="797">
        <v>224</v>
      </c>
      <c r="V12" s="797"/>
      <c r="W12" s="796">
        <v>227</v>
      </c>
    </row>
    <row r="13" spans="2:23" s="15" customFormat="1" ht="22.5" customHeight="1">
      <c r="B13" s="66" t="s">
        <v>617</v>
      </c>
      <c r="C13" s="3" t="s">
        <v>618</v>
      </c>
      <c r="D13" s="25" t="s">
        <v>151</v>
      </c>
      <c r="E13" s="600">
        <v>117.7</v>
      </c>
      <c r="F13" s="770"/>
      <c r="G13" s="590">
        <v>467.58</v>
      </c>
      <c r="H13" s="770"/>
      <c r="I13" s="209">
        <v>1748.8</v>
      </c>
      <c r="J13" s="770"/>
      <c r="K13" s="209">
        <v>2150</v>
      </c>
      <c r="L13" s="98" t="s">
        <v>155</v>
      </c>
      <c r="M13" s="795" t="s">
        <v>212</v>
      </c>
      <c r="N13" s="25" t="s">
        <v>151</v>
      </c>
      <c r="O13" s="798">
        <v>207</v>
      </c>
      <c r="P13" s="797"/>
      <c r="Q13" s="147">
        <v>200</v>
      </c>
      <c r="R13" s="797"/>
      <c r="S13" s="147">
        <v>211</v>
      </c>
      <c r="T13" s="797"/>
      <c r="U13" s="797">
        <v>211</v>
      </c>
      <c r="V13" s="797"/>
      <c r="W13" s="798">
        <v>211</v>
      </c>
    </row>
    <row r="14" spans="2:23" s="15" customFormat="1" ht="22.5" customHeight="1">
      <c r="B14" s="66" t="s">
        <v>155</v>
      </c>
      <c r="C14" s="3" t="s">
        <v>212</v>
      </c>
      <c r="D14" s="25" t="s">
        <v>151</v>
      </c>
      <c r="E14" s="775">
        <v>394.67</v>
      </c>
      <c r="F14" s="777"/>
      <c r="G14" s="590">
        <v>157.33000000000001</v>
      </c>
      <c r="H14" s="777">
        <v>390.67</v>
      </c>
      <c r="I14" s="590">
        <v>390.67</v>
      </c>
      <c r="J14" s="777"/>
      <c r="K14" s="590">
        <v>563</v>
      </c>
      <c r="L14" s="98" t="s">
        <v>203</v>
      </c>
      <c r="M14" s="795" t="s">
        <v>619</v>
      </c>
      <c r="N14" s="25" t="s">
        <v>151</v>
      </c>
      <c r="O14" s="798">
        <v>1408</v>
      </c>
      <c r="P14" s="797"/>
      <c r="Q14" s="147">
        <v>1401</v>
      </c>
      <c r="R14" s="797"/>
      <c r="S14" s="147">
        <v>1468</v>
      </c>
      <c r="T14" s="797"/>
      <c r="U14" s="797">
        <v>1459</v>
      </c>
      <c r="V14" s="797"/>
      <c r="W14" s="798">
        <v>1447</v>
      </c>
    </row>
    <row r="15" spans="2:23" s="15" customFormat="1" ht="22.5" customHeight="1" thickBot="1">
      <c r="B15" s="68" t="s">
        <v>203</v>
      </c>
      <c r="C15" s="62" t="s">
        <v>619</v>
      </c>
      <c r="D15" s="193" t="s">
        <v>151</v>
      </c>
      <c r="E15" s="805">
        <v>1696.7</v>
      </c>
      <c r="F15" s="778"/>
      <c r="G15" s="608">
        <v>695</v>
      </c>
      <c r="H15" s="778"/>
      <c r="I15" s="779">
        <v>1716.7</v>
      </c>
      <c r="J15" s="778"/>
      <c r="K15" s="779">
        <v>2968</v>
      </c>
      <c r="L15" s="68" t="s">
        <v>617</v>
      </c>
      <c r="M15" s="62" t="s">
        <v>618</v>
      </c>
      <c r="N15" s="193" t="s">
        <v>151</v>
      </c>
      <c r="O15" s="444">
        <v>2074</v>
      </c>
      <c r="P15" s="782"/>
      <c r="Q15" s="249">
        <v>2088</v>
      </c>
      <c r="R15" s="782"/>
      <c r="S15" s="249">
        <v>2148</v>
      </c>
      <c r="T15" s="782"/>
      <c r="U15" s="782">
        <v>2197</v>
      </c>
      <c r="V15" s="782"/>
      <c r="W15" s="444">
        <v>2159</v>
      </c>
    </row>
    <row r="16" spans="2:23" s="15" customFormat="1" ht="10.5" customHeight="1" thickTop="1">
      <c r="B16" s="760"/>
      <c r="C16" s="171"/>
      <c r="D16" s="199"/>
      <c r="E16" s="77"/>
      <c r="F16" s="77"/>
      <c r="G16" s="77"/>
      <c r="H16" s="77"/>
      <c r="I16" s="77"/>
      <c r="J16" s="77"/>
      <c r="K16" s="77"/>
      <c r="L16" s="799"/>
      <c r="M16" s="171"/>
      <c r="N16" s="30"/>
      <c r="O16" s="800"/>
      <c r="P16" s="801"/>
      <c r="Q16" s="802"/>
      <c r="R16" s="802"/>
      <c r="S16" s="802"/>
      <c r="T16" s="801"/>
      <c r="U16" s="801"/>
      <c r="V16" s="801"/>
      <c r="W16" s="773"/>
    </row>
    <row r="17" spans="1:23" s="15" customFormat="1" ht="21" customHeight="1">
      <c r="B17" s="947" t="s">
        <v>620</v>
      </c>
      <c r="C17" s="947"/>
      <c r="D17" s="947"/>
      <c r="E17" s="947"/>
      <c r="F17" s="947"/>
      <c r="G17" s="947"/>
      <c r="H17" s="947"/>
      <c r="I17" s="947"/>
      <c r="J17" s="947"/>
      <c r="K17" s="947"/>
      <c r="L17" s="1000"/>
      <c r="M17" s="1000"/>
      <c r="N17" s="1000"/>
      <c r="O17" s="1000"/>
    </row>
    <row r="18" spans="1:23" s="15" customFormat="1" ht="21" customHeight="1" thickBot="1">
      <c r="B18" s="948" t="s">
        <v>687</v>
      </c>
      <c r="C18" s="948"/>
      <c r="D18" s="948"/>
      <c r="E18" s="948"/>
      <c r="F18" s="948"/>
      <c r="G18" s="948"/>
      <c r="H18" s="948"/>
      <c r="I18" s="948"/>
      <c r="J18" s="948"/>
      <c r="K18" s="948"/>
    </row>
    <row r="19" spans="1:23" s="15" customFormat="1" ht="22.5" customHeight="1" thickTop="1">
      <c r="B19" s="984" t="s">
        <v>245</v>
      </c>
      <c r="C19" s="984"/>
      <c r="D19" s="989" t="s">
        <v>141</v>
      </c>
      <c r="E19" s="988" t="s">
        <v>612</v>
      </c>
      <c r="F19" s="988"/>
      <c r="G19" s="988"/>
      <c r="H19" s="988"/>
      <c r="I19" s="988"/>
      <c r="J19" s="988"/>
      <c r="K19" s="988"/>
    </row>
    <row r="20" spans="1:23" s="15" customFormat="1" ht="22.5" customHeight="1">
      <c r="B20" s="985"/>
      <c r="C20" s="985"/>
      <c r="D20" s="1129"/>
      <c r="E20" s="806" t="s">
        <v>621</v>
      </c>
      <c r="F20" s="780"/>
      <c r="G20" s="806" t="s">
        <v>622</v>
      </c>
      <c r="H20" s="780"/>
      <c r="I20" s="806" t="s">
        <v>623</v>
      </c>
      <c r="J20" s="780"/>
      <c r="K20" s="806" t="s">
        <v>624</v>
      </c>
    </row>
    <row r="21" spans="1:23" s="15" customFormat="1" ht="22.5" customHeight="1">
      <c r="B21" s="758" t="s">
        <v>231</v>
      </c>
      <c r="C21" s="766" t="s">
        <v>152</v>
      </c>
      <c r="D21" s="767"/>
      <c r="E21" s="601">
        <v>7.7</v>
      </c>
      <c r="F21" s="781"/>
      <c r="G21" s="324">
        <v>7.8</v>
      </c>
      <c r="H21" s="781"/>
      <c r="I21" s="324">
        <v>7.8</v>
      </c>
      <c r="J21" s="781"/>
      <c r="K21" s="324">
        <v>7.9</v>
      </c>
    </row>
    <row r="22" spans="1:23" s="15" customFormat="1" ht="22.5" customHeight="1">
      <c r="B22" s="98" t="s">
        <v>233</v>
      </c>
      <c r="C22" s="795" t="s">
        <v>234</v>
      </c>
      <c r="D22" s="191" t="s">
        <v>151</v>
      </c>
      <c r="E22" s="796">
        <v>1604</v>
      </c>
      <c r="F22" s="797"/>
      <c r="G22" s="147">
        <v>1698</v>
      </c>
      <c r="H22" s="797"/>
      <c r="I22" s="147">
        <v>2218</v>
      </c>
      <c r="J22" s="797"/>
      <c r="K22" s="254">
        <v>2963</v>
      </c>
      <c r="P22" s="65"/>
      <c r="Q22" s="65"/>
      <c r="R22" s="65"/>
      <c r="S22" s="65"/>
      <c r="T22" s="65"/>
      <c r="U22" s="65"/>
      <c r="V22" s="65"/>
      <c r="W22" s="65"/>
    </row>
    <row r="23" spans="1:23" s="15" customFormat="1" ht="16.5" customHeight="1">
      <c r="A23" s="809"/>
      <c r="B23" s="856"/>
      <c r="C23" s="856"/>
      <c r="D23" s="856"/>
      <c r="E23" s="856"/>
      <c r="F23" s="856"/>
      <c r="G23" s="856"/>
      <c r="H23" s="856"/>
      <c r="I23" s="856"/>
      <c r="J23" s="856"/>
      <c r="K23" s="857"/>
    </row>
    <row r="24" spans="1:23" customFormat="1" ht="20.25" customHeight="1" thickBot="1">
      <c r="A24" s="1128" t="s">
        <v>747</v>
      </c>
      <c r="B24" s="1127"/>
      <c r="C24" s="1127"/>
      <c r="D24" s="1127"/>
      <c r="E24" s="922"/>
      <c r="F24" s="858"/>
      <c r="G24" s="922"/>
      <c r="H24" s="858"/>
      <c r="I24" s="923"/>
      <c r="J24" s="923"/>
      <c r="K24" s="923"/>
      <c r="L24" s="1127" t="s">
        <v>747</v>
      </c>
      <c r="M24" s="1127"/>
      <c r="N24" s="1127"/>
      <c r="O24" s="1127"/>
      <c r="P24" s="859"/>
      <c r="Q24" s="859"/>
      <c r="R24" s="859"/>
      <c r="S24" s="172"/>
      <c r="T24" s="172"/>
      <c r="U24" s="858"/>
      <c r="V24" s="172"/>
      <c r="W24" s="858"/>
    </row>
    <row r="25" spans="1:23" s="15" customFormat="1" ht="22.5" customHeight="1">
      <c r="B25" s="981" t="s">
        <v>287</v>
      </c>
      <c r="C25" s="981"/>
      <c r="D25" s="981"/>
      <c r="E25" s="981"/>
      <c r="F25" s="981"/>
      <c r="G25" s="981"/>
      <c r="H25" s="809"/>
      <c r="I25" s="924"/>
      <c r="J25" s="809"/>
      <c r="K25" s="925">
        <v>64</v>
      </c>
      <c r="L25" s="999" t="s">
        <v>287</v>
      </c>
      <c r="M25" s="999"/>
      <c r="N25" s="999"/>
      <c r="O25" s="999"/>
      <c r="P25" s="999"/>
      <c r="Q25" s="999"/>
      <c r="R25" s="999"/>
      <c r="S25" s="809"/>
      <c r="T25" s="809"/>
      <c r="U25" s="809"/>
      <c r="V25" s="809"/>
      <c r="W25" s="925">
        <v>65</v>
      </c>
    </row>
    <row r="26" spans="1:23" s="15" customFormat="1">
      <c r="E26" s="807"/>
      <c r="G26" s="807"/>
      <c r="I26" s="807"/>
      <c r="K26" s="807"/>
    </row>
    <row r="27" spans="1:23" s="15" customFormat="1">
      <c r="E27" s="807"/>
      <c r="G27" s="807"/>
      <c r="I27" s="807"/>
      <c r="K27" s="807"/>
    </row>
    <row r="28" spans="1:23" s="15" customFormat="1">
      <c r="E28" s="807"/>
      <c r="G28" s="807"/>
      <c r="I28" s="807"/>
      <c r="K28" s="807"/>
    </row>
    <row r="29" spans="1:23" s="15" customFormat="1">
      <c r="E29" s="807"/>
      <c r="G29" s="807"/>
      <c r="I29" s="807"/>
      <c r="K29" s="807"/>
    </row>
    <row r="30" spans="1:23" s="15" customFormat="1">
      <c r="E30" s="807"/>
      <c r="G30" s="807"/>
      <c r="I30" s="807"/>
      <c r="K30" s="807"/>
    </row>
    <row r="31" spans="1:23" s="15" customFormat="1">
      <c r="E31" s="807"/>
      <c r="G31" s="807"/>
      <c r="I31" s="807"/>
      <c r="K31" s="807"/>
    </row>
    <row r="32" spans="1:23" s="15" customFormat="1">
      <c r="E32" s="807"/>
      <c r="G32" s="807"/>
      <c r="I32" s="807"/>
      <c r="K32" s="807"/>
    </row>
    <row r="33" spans="2:11" s="15" customFormat="1">
      <c r="E33" s="807"/>
      <c r="G33" s="807"/>
      <c r="I33" s="807"/>
      <c r="K33" s="807"/>
    </row>
    <row r="34" spans="2:11" s="15" customFormat="1">
      <c r="E34" s="807"/>
      <c r="G34" s="807"/>
      <c r="I34" s="807"/>
      <c r="K34" s="807"/>
    </row>
    <row r="35" spans="2:11" s="15" customFormat="1">
      <c r="E35" s="807"/>
      <c r="G35" s="807"/>
      <c r="I35" s="807"/>
      <c r="K35" s="807"/>
    </row>
    <row r="36" spans="2:11" s="15" customFormat="1">
      <c r="E36" s="807"/>
      <c r="G36" s="807"/>
      <c r="I36" s="807"/>
      <c r="K36" s="807"/>
    </row>
    <row r="37" spans="2:11" s="15" customFormat="1">
      <c r="E37" s="807"/>
      <c r="G37" s="807"/>
      <c r="I37" s="807"/>
      <c r="K37" s="807"/>
    </row>
    <row r="38" spans="2:11" s="15" customFormat="1">
      <c r="E38" s="807"/>
      <c r="G38" s="807"/>
      <c r="I38" s="807"/>
      <c r="K38" s="807"/>
    </row>
    <row r="39" spans="2:11" s="15" customFormat="1">
      <c r="E39" s="807"/>
      <c r="G39" s="807"/>
      <c r="I39" s="807"/>
      <c r="K39" s="807"/>
    </row>
    <row r="40" spans="2:11" s="15" customFormat="1">
      <c r="E40" s="807"/>
      <c r="G40" s="807"/>
      <c r="I40" s="807"/>
      <c r="K40" s="807"/>
    </row>
    <row r="41" spans="2:11" s="15" customFormat="1">
      <c r="E41" s="807"/>
      <c r="G41" s="807"/>
      <c r="I41" s="807"/>
      <c r="K41" s="807"/>
    </row>
    <row r="42" spans="2:11" s="15" customFormat="1">
      <c r="E42" s="807"/>
      <c r="G42" s="807"/>
      <c r="I42" s="807"/>
      <c r="K42" s="807"/>
    </row>
    <row r="43" spans="2:11" s="15" customFormat="1">
      <c r="E43" s="807"/>
      <c r="G43" s="807"/>
      <c r="I43" s="807"/>
      <c r="K43" s="807"/>
    </row>
    <row r="44" spans="2:11" s="15" customFormat="1">
      <c r="E44" s="807"/>
      <c r="G44" s="807"/>
      <c r="I44" s="807"/>
      <c r="K44" s="807"/>
    </row>
    <row r="45" spans="2:11" s="765" customFormat="1">
      <c r="E45" s="808"/>
      <c r="G45" s="808"/>
      <c r="I45" s="808"/>
      <c r="K45" s="808"/>
    </row>
    <row r="46" spans="2:11" s="765" customFormat="1">
      <c r="E46" s="808"/>
      <c r="G46" s="808"/>
      <c r="I46" s="808"/>
      <c r="K46" s="808"/>
    </row>
    <row r="47" spans="2:11" s="765" customFormat="1">
      <c r="E47" s="808"/>
      <c r="G47" s="808"/>
      <c r="I47" s="808"/>
      <c r="K47" s="808"/>
    </row>
    <row r="48" spans="2:11">
      <c r="B48" s="765"/>
      <c r="C48" s="765"/>
      <c r="D48" s="765"/>
      <c r="E48" s="808"/>
      <c r="F48" s="765"/>
      <c r="G48" s="808"/>
      <c r="H48" s="765"/>
      <c r="I48" s="808"/>
      <c r="J48" s="765"/>
      <c r="K48" s="808"/>
    </row>
  </sheetData>
  <mergeCells count="20">
    <mergeCell ref="B25:G25"/>
    <mergeCell ref="L25:R25"/>
    <mergeCell ref="B3:C4"/>
    <mergeCell ref="D3:D4"/>
    <mergeCell ref="B1:K1"/>
    <mergeCell ref="B2:K2"/>
    <mergeCell ref="E3:K3"/>
    <mergeCell ref="L17:O17"/>
    <mergeCell ref="L24:O24"/>
    <mergeCell ref="A24:D24"/>
    <mergeCell ref="B17:K17"/>
    <mergeCell ref="B18:K18"/>
    <mergeCell ref="B19:C20"/>
    <mergeCell ref="D19:D20"/>
    <mergeCell ref="E19:K19"/>
    <mergeCell ref="L1:W1"/>
    <mergeCell ref="L2:W2"/>
    <mergeCell ref="L3:M4"/>
    <mergeCell ref="N3:N4"/>
    <mergeCell ref="O3:W3"/>
  </mergeCells>
  <printOptions horizontalCentered="1"/>
  <pageMargins left="0.9055118110236221" right="0.9055118110236221" top="0.51181102362204722" bottom="0.51181102362204722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M39"/>
  <sheetViews>
    <sheetView rightToLeft="1" view="pageBreakPreview" topLeftCell="A34" zoomScale="130" zoomScaleNormal="140" zoomScaleSheetLayoutView="130" workbookViewId="0">
      <selection activeCell="B27" sqref="B27:D27"/>
    </sheetView>
  </sheetViews>
  <sheetFormatPr defaultColWidth="9.125" defaultRowHeight="14.25"/>
  <cols>
    <col min="1" max="1" width="1.25" style="65" customWidth="1"/>
    <col min="2" max="2" width="21.75" style="65" customWidth="1"/>
    <col min="3" max="3" width="32.625" style="65" customWidth="1"/>
    <col min="4" max="4" width="28" style="65" customWidth="1"/>
    <col min="5" max="5" width="13" style="65" customWidth="1"/>
    <col min="6" max="6" width="9.375" style="65" customWidth="1"/>
    <col min="7" max="7" width="1.125" style="65" customWidth="1"/>
    <col min="8" max="8" width="17.25" style="65" customWidth="1"/>
    <col min="9" max="9" width="1.125" style="65" customWidth="1"/>
    <col min="10" max="10" width="15.75" style="65" customWidth="1"/>
    <col min="11" max="11" width="0.875" style="65" customWidth="1"/>
    <col min="12" max="12" width="4.875" style="65" customWidth="1"/>
    <col min="13" max="13" width="14.125" style="65" customWidth="1"/>
    <col min="14" max="16384" width="9.125" style="65"/>
  </cols>
  <sheetData>
    <row r="1" spans="2:4" ht="20.25" customHeight="1">
      <c r="B1" s="947" t="s">
        <v>575</v>
      </c>
      <c r="C1" s="947"/>
      <c r="D1" s="947"/>
    </row>
    <row r="2" spans="2:4" s="226" customFormat="1" ht="20.25" customHeight="1" thickBot="1">
      <c r="B2" s="948" t="s">
        <v>688</v>
      </c>
      <c r="C2" s="948"/>
      <c r="D2" s="948"/>
    </row>
    <row r="3" spans="2:4" s="15" customFormat="1" ht="26.25" customHeight="1" thickTop="1" thickBot="1">
      <c r="B3" s="672" t="s">
        <v>494</v>
      </c>
      <c r="C3" s="672" t="s">
        <v>245</v>
      </c>
      <c r="D3" s="672" t="s">
        <v>495</v>
      </c>
    </row>
    <row r="4" spans="2:4" s="15" customFormat="1" ht="20.25" customHeight="1">
      <c r="B4" s="1131" t="s">
        <v>496</v>
      </c>
      <c r="C4" s="708" t="s">
        <v>692</v>
      </c>
      <c r="D4" s="710" t="s">
        <v>712</v>
      </c>
    </row>
    <row r="5" spans="2:4" s="15" customFormat="1" ht="20.25" customHeight="1">
      <c r="B5" s="973"/>
      <c r="C5" s="80" t="s">
        <v>689</v>
      </c>
      <c r="D5" s="710" t="s">
        <v>713</v>
      </c>
    </row>
    <row r="6" spans="2:4" s="15" customFormat="1" ht="20.25" customHeight="1">
      <c r="B6" s="973"/>
      <c r="C6" s="671" t="s">
        <v>693</v>
      </c>
      <c r="D6" s="710" t="s">
        <v>714</v>
      </c>
    </row>
    <row r="7" spans="2:4" s="15" customFormat="1" ht="20.25" customHeight="1">
      <c r="B7" s="973"/>
      <c r="C7" s="671" t="s">
        <v>691</v>
      </c>
      <c r="D7" s="710" t="s">
        <v>591</v>
      </c>
    </row>
    <row r="8" spans="2:4" s="15" customFormat="1" ht="20.25" customHeight="1">
      <c r="B8" s="974"/>
      <c r="C8" s="673" t="s">
        <v>497</v>
      </c>
      <c r="D8" s="885" t="s">
        <v>694</v>
      </c>
    </row>
    <row r="9" spans="2:4" s="15" customFormat="1" ht="20.25" customHeight="1">
      <c r="B9" s="977" t="s">
        <v>503</v>
      </c>
      <c r="C9" s="677" t="s">
        <v>578</v>
      </c>
      <c r="D9" s="712" t="s">
        <v>715</v>
      </c>
    </row>
    <row r="10" spans="2:4" s="15" customFormat="1" ht="20.25" customHeight="1">
      <c r="B10" s="973"/>
      <c r="C10" s="671" t="s">
        <v>505</v>
      </c>
      <c r="D10" s="710" t="s">
        <v>716</v>
      </c>
    </row>
    <row r="11" spans="2:4" s="15" customFormat="1" ht="20.25" customHeight="1">
      <c r="B11" s="973"/>
      <c r="C11" s="671" t="s">
        <v>506</v>
      </c>
      <c r="D11" s="710" t="s">
        <v>717</v>
      </c>
    </row>
    <row r="12" spans="2:4" s="15" customFormat="1" ht="20.25" customHeight="1">
      <c r="B12" s="973"/>
      <c r="C12" s="671" t="s">
        <v>579</v>
      </c>
      <c r="D12" s="710" t="s">
        <v>718</v>
      </c>
    </row>
    <row r="13" spans="2:4" s="15" customFormat="1" ht="20.25" customHeight="1">
      <c r="B13" s="973"/>
      <c r="C13" s="671" t="s">
        <v>580</v>
      </c>
      <c r="D13" s="710" t="s">
        <v>719</v>
      </c>
    </row>
    <row r="14" spans="2:4" s="15" customFormat="1" ht="20.25" customHeight="1">
      <c r="B14" s="973"/>
      <c r="C14" s="671" t="s">
        <v>577</v>
      </c>
      <c r="D14" s="710" t="s">
        <v>720</v>
      </c>
    </row>
    <row r="15" spans="2:4" s="15" customFormat="1" ht="20.25" customHeight="1">
      <c r="B15" s="973"/>
      <c r="C15" s="671" t="s">
        <v>581</v>
      </c>
      <c r="D15" s="710" t="s">
        <v>721</v>
      </c>
    </row>
    <row r="16" spans="2:4" s="15" customFormat="1" ht="20.25" customHeight="1">
      <c r="B16" s="973"/>
      <c r="C16" s="671" t="s">
        <v>582</v>
      </c>
      <c r="D16" s="710" t="s">
        <v>722</v>
      </c>
    </row>
    <row r="17" spans="2:13" s="15" customFormat="1" ht="20.25" customHeight="1">
      <c r="B17" s="973"/>
      <c r="C17" s="671" t="s">
        <v>510</v>
      </c>
      <c r="D17" s="710" t="s">
        <v>723</v>
      </c>
    </row>
    <row r="18" spans="2:13" s="15" customFormat="1" ht="20.25" customHeight="1">
      <c r="B18" s="973"/>
      <c r="C18" s="671" t="s">
        <v>511</v>
      </c>
      <c r="D18" s="710" t="s">
        <v>724</v>
      </c>
    </row>
    <row r="19" spans="2:13" s="15" customFormat="1" ht="20.25" customHeight="1">
      <c r="B19" s="973"/>
      <c r="C19" s="671" t="s">
        <v>583</v>
      </c>
      <c r="D19" s="710" t="s">
        <v>725</v>
      </c>
    </row>
    <row r="20" spans="2:13" s="15" customFormat="1" ht="20.25" customHeight="1">
      <c r="B20" s="973"/>
      <c r="C20" s="671" t="s">
        <v>584</v>
      </c>
      <c r="D20" s="710" t="s">
        <v>726</v>
      </c>
    </row>
    <row r="21" spans="2:13" s="15" customFormat="1" ht="20.25" customHeight="1">
      <c r="B21" s="973"/>
      <c r="C21" s="671" t="s">
        <v>585</v>
      </c>
      <c r="D21" s="710" t="s">
        <v>727</v>
      </c>
    </row>
    <row r="22" spans="2:13" s="15" customFormat="1" ht="20.25" customHeight="1">
      <c r="B22" s="974"/>
      <c r="C22" s="674" t="s">
        <v>586</v>
      </c>
      <c r="D22" s="711" t="s">
        <v>728</v>
      </c>
    </row>
    <row r="23" spans="2:13" s="15" customFormat="1" ht="20.25" customHeight="1">
      <c r="B23" s="977" t="s">
        <v>529</v>
      </c>
      <c r="C23" s="677" t="s">
        <v>587</v>
      </c>
      <c r="D23" s="712" t="s">
        <v>588</v>
      </c>
    </row>
    <row r="24" spans="2:13" s="15" customFormat="1" ht="20.25" customHeight="1">
      <c r="B24" s="973"/>
      <c r="C24" s="671" t="s">
        <v>729</v>
      </c>
      <c r="D24" s="710" t="s">
        <v>589</v>
      </c>
    </row>
    <row r="25" spans="2:13" s="15" customFormat="1" ht="20.25" customHeight="1" thickBot="1">
      <c r="B25" s="1130"/>
      <c r="C25" s="573" t="s">
        <v>590</v>
      </c>
      <c r="D25" s="713" t="s">
        <v>748</v>
      </c>
    </row>
    <row r="26" spans="2:13" s="15" customFormat="1" ht="20.25" customHeight="1" thickTop="1">
      <c r="B26" s="886" t="s">
        <v>368</v>
      </c>
      <c r="C26" s="76"/>
      <c r="D26" s="709"/>
      <c r="E26" s="699"/>
      <c r="F26" s="699"/>
      <c r="G26" s="699"/>
      <c r="H26" s="699"/>
      <c r="I26" s="699"/>
      <c r="J26" s="699"/>
      <c r="K26" s="699"/>
      <c r="L26" s="699"/>
      <c r="M26" s="699"/>
    </row>
    <row r="27" spans="2:13" s="699" customFormat="1" ht="20.25" customHeight="1">
      <c r="B27" s="973" t="s">
        <v>596</v>
      </c>
      <c r="C27" s="973"/>
      <c r="D27" s="973"/>
    </row>
    <row r="28" spans="2:13" s="15" customFormat="1" ht="20.25" customHeight="1">
      <c r="B28" s="676"/>
      <c r="C28" s="678"/>
      <c r="D28" s="705"/>
      <c r="E28" s="699"/>
      <c r="F28" s="699"/>
      <c r="G28" s="699"/>
      <c r="H28" s="699"/>
      <c r="I28" s="699"/>
      <c r="J28" s="699"/>
      <c r="K28" s="699"/>
      <c r="L28" s="699"/>
      <c r="M28" s="699"/>
    </row>
    <row r="29" spans="2:13" s="15" customFormat="1" ht="20.25" customHeight="1">
      <c r="B29" s="676"/>
      <c r="C29" s="678"/>
      <c r="D29" s="705"/>
      <c r="E29" s="699"/>
      <c r="F29" s="699"/>
      <c r="G29" s="699"/>
      <c r="H29" s="699"/>
      <c r="I29" s="699"/>
      <c r="J29" s="699"/>
      <c r="K29" s="699"/>
      <c r="L29" s="699"/>
      <c r="M29" s="699"/>
    </row>
    <row r="30" spans="2:13" s="15" customFormat="1" ht="20.25" customHeight="1">
      <c r="B30" s="676"/>
      <c r="C30" s="678"/>
      <c r="D30" s="705"/>
      <c r="E30" s="699"/>
      <c r="F30" s="699"/>
      <c r="G30" s="699"/>
      <c r="H30" s="699"/>
      <c r="I30" s="699"/>
      <c r="J30" s="699"/>
      <c r="K30" s="699"/>
      <c r="L30" s="699"/>
      <c r="M30" s="699"/>
    </row>
    <row r="31" spans="2:13" s="15" customFormat="1" ht="20.25" customHeight="1">
      <c r="B31" s="676"/>
      <c r="C31" s="678"/>
      <c r="D31" s="705"/>
      <c r="E31" s="699"/>
      <c r="F31" s="699"/>
      <c r="G31" s="699"/>
      <c r="H31" s="699"/>
      <c r="I31" s="699"/>
      <c r="J31" s="699"/>
      <c r="K31" s="699"/>
      <c r="L31" s="699"/>
      <c r="M31" s="699"/>
    </row>
    <row r="32" spans="2:13" s="15" customFormat="1" ht="20.25" customHeight="1">
      <c r="B32" s="676"/>
      <c r="C32" s="678"/>
      <c r="D32" s="705"/>
      <c r="E32" s="699"/>
      <c r="F32" s="699"/>
      <c r="G32" s="699"/>
      <c r="H32" s="699"/>
      <c r="I32" s="699"/>
      <c r="J32" s="699"/>
      <c r="K32" s="699"/>
      <c r="L32" s="699"/>
      <c r="M32" s="699"/>
    </row>
    <row r="33" spans="2:13" s="15" customFormat="1" ht="20.25" customHeight="1">
      <c r="B33" s="676"/>
      <c r="C33" s="678"/>
      <c r="D33" s="705"/>
      <c r="E33" s="699"/>
      <c r="F33" s="699"/>
      <c r="G33" s="699"/>
      <c r="H33" s="699"/>
      <c r="I33" s="699"/>
      <c r="J33" s="699"/>
      <c r="K33" s="699"/>
      <c r="L33" s="699"/>
      <c r="M33" s="699"/>
    </row>
    <row r="34" spans="2:13" s="15" customFormat="1" ht="20.25" customHeight="1">
      <c r="B34" s="676"/>
      <c r="C34" s="678"/>
      <c r="D34" s="705"/>
      <c r="E34" s="699"/>
      <c r="F34" s="699"/>
      <c r="G34" s="699"/>
      <c r="H34" s="699"/>
      <c r="I34" s="699"/>
      <c r="J34" s="699"/>
      <c r="K34" s="699"/>
      <c r="L34" s="699"/>
      <c r="M34" s="699"/>
    </row>
    <row r="35" spans="2:13" s="15" customFormat="1" ht="18" customHeight="1">
      <c r="B35" s="676"/>
      <c r="C35" s="678"/>
      <c r="D35" s="705"/>
      <c r="E35" s="699"/>
      <c r="F35" s="699"/>
      <c r="G35" s="699"/>
      <c r="H35" s="699"/>
      <c r="I35" s="699"/>
      <c r="J35" s="699"/>
      <c r="K35" s="699"/>
      <c r="L35" s="699"/>
      <c r="M35" s="699"/>
    </row>
    <row r="36" spans="2:13" s="15" customFormat="1" ht="18" customHeight="1">
      <c r="B36" s="676"/>
      <c r="C36" s="678"/>
      <c r="D36" s="705"/>
      <c r="E36" s="699"/>
      <c r="F36" s="699"/>
      <c r="G36" s="699"/>
      <c r="H36" s="699"/>
      <c r="I36" s="699"/>
      <c r="J36" s="699"/>
      <c r="K36" s="699"/>
      <c r="L36" s="699"/>
      <c r="M36" s="699"/>
    </row>
    <row r="37" spans="2:13" s="15" customFormat="1" ht="18" customHeight="1">
      <c r="B37" s="676"/>
      <c r="C37" s="678"/>
      <c r="D37" s="705"/>
      <c r="E37" s="699"/>
      <c r="F37" s="699"/>
      <c r="G37" s="699"/>
      <c r="H37" s="699"/>
      <c r="I37" s="699"/>
      <c r="J37" s="699"/>
      <c r="K37" s="699"/>
      <c r="L37" s="699"/>
      <c r="M37" s="699"/>
    </row>
    <row r="38" spans="2:13" s="15" customFormat="1" ht="18" customHeight="1">
      <c r="B38" s="676"/>
      <c r="C38" s="678"/>
      <c r="D38" s="705"/>
      <c r="E38" s="699"/>
      <c r="F38" s="699"/>
      <c r="G38" s="699"/>
      <c r="H38" s="699"/>
      <c r="I38" s="699"/>
      <c r="J38" s="699"/>
      <c r="K38" s="699"/>
      <c r="L38" s="699"/>
      <c r="M38" s="699"/>
    </row>
    <row r="39" spans="2:13" s="15" customFormat="1" ht="18" customHeight="1">
      <c r="B39" s="900" t="s">
        <v>287</v>
      </c>
      <c r="C39" s="900"/>
      <c r="D39" s="926">
        <v>66</v>
      </c>
      <c r="E39" s="238"/>
      <c r="F39" s="699"/>
      <c r="G39" s="706"/>
      <c r="H39" s="707"/>
      <c r="I39" s="171"/>
      <c r="J39" s="171"/>
      <c r="K39" s="171">
        <v>61</v>
      </c>
    </row>
  </sheetData>
  <mergeCells count="6">
    <mergeCell ref="B27:D27"/>
    <mergeCell ref="B9:B22"/>
    <mergeCell ref="B23:B25"/>
    <mergeCell ref="B1:D1"/>
    <mergeCell ref="B2:D2"/>
    <mergeCell ref="B4:B8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M98"/>
  <sheetViews>
    <sheetView rightToLeft="1" view="pageBreakPreview" topLeftCell="A88" zoomScale="150" zoomScaleSheetLayoutView="150" workbookViewId="0">
      <selection activeCell="C6" sqref="C6"/>
    </sheetView>
  </sheetViews>
  <sheetFormatPr defaultColWidth="9.125" defaultRowHeight="14.25"/>
  <cols>
    <col min="1" max="1" width="1.25" style="65" customWidth="1"/>
    <col min="2" max="2" width="19.875" style="65" customWidth="1"/>
    <col min="3" max="3" width="35.25" style="65" customWidth="1"/>
    <col min="4" max="4" width="28" style="65" customWidth="1"/>
    <col min="5" max="5" width="13" style="65" customWidth="1"/>
    <col min="6" max="6" width="9.375" style="65" customWidth="1"/>
    <col min="7" max="7" width="1.125" style="65" customWidth="1"/>
    <col min="8" max="8" width="17.25" style="65" customWidth="1"/>
    <col min="9" max="9" width="1.125" style="65" customWidth="1"/>
    <col min="10" max="10" width="15.75" style="65" customWidth="1"/>
    <col min="11" max="11" width="0.875" style="65" customWidth="1"/>
    <col min="12" max="12" width="4.875" style="65" customWidth="1"/>
    <col min="13" max="13" width="14.125" style="65" customWidth="1"/>
    <col min="14" max="16384" width="9.125" style="65"/>
  </cols>
  <sheetData>
    <row r="1" spans="2:8" ht="18" customHeight="1">
      <c r="B1" s="947" t="s">
        <v>515</v>
      </c>
      <c r="C1" s="947"/>
      <c r="D1" s="947"/>
    </row>
    <row r="2" spans="2:8" s="226" customFormat="1" ht="18" customHeight="1" thickBot="1">
      <c r="B2" s="948" t="s">
        <v>493</v>
      </c>
      <c r="C2" s="948"/>
      <c r="D2" s="948"/>
    </row>
    <row r="3" spans="2:8" s="15" customFormat="1" ht="27" customHeight="1" thickTop="1" thickBot="1">
      <c r="B3" s="672" t="s">
        <v>494</v>
      </c>
      <c r="C3" s="672" t="s">
        <v>245</v>
      </c>
      <c r="D3" s="938" t="s">
        <v>495</v>
      </c>
    </row>
    <row r="4" spans="2:8" s="15" customFormat="1" ht="16.5" customHeight="1">
      <c r="B4" s="1131" t="s">
        <v>496</v>
      </c>
      <c r="C4" s="681" t="s">
        <v>689</v>
      </c>
      <c r="D4" s="682" t="s">
        <v>695</v>
      </c>
    </row>
    <row r="5" spans="2:8" s="15" customFormat="1" ht="16.5" customHeight="1">
      <c r="B5" s="973"/>
      <c r="C5" s="671" t="s">
        <v>690</v>
      </c>
      <c r="D5" s="679" t="s">
        <v>696</v>
      </c>
    </row>
    <row r="6" spans="2:8" s="15" customFormat="1" ht="16.5" customHeight="1">
      <c r="B6" s="973"/>
      <c r="C6" s="671" t="s">
        <v>691</v>
      </c>
      <c r="D6" s="679" t="s">
        <v>697</v>
      </c>
    </row>
    <row r="7" spans="2:8" s="15" customFormat="1" ht="16.5" customHeight="1">
      <c r="B7" s="974"/>
      <c r="C7" s="673" t="s">
        <v>497</v>
      </c>
      <c r="D7" s="683" t="s">
        <v>694</v>
      </c>
    </row>
    <row r="8" spans="2:8" s="15" customFormat="1" ht="16.5" customHeight="1">
      <c r="B8" s="977" t="s">
        <v>498</v>
      </c>
      <c r="C8" s="658" t="s">
        <v>499</v>
      </c>
      <c r="D8" s="684" t="s">
        <v>730</v>
      </c>
    </row>
    <row r="9" spans="2:8" s="15" customFormat="1" ht="16.5" customHeight="1">
      <c r="B9" s="973"/>
      <c r="C9" s="671" t="s">
        <v>500</v>
      </c>
      <c r="D9" s="679" t="s">
        <v>731</v>
      </c>
    </row>
    <row r="10" spans="2:8" s="15" customFormat="1" ht="16.5" customHeight="1">
      <c r="B10" s="974"/>
      <c r="C10" s="673" t="s">
        <v>497</v>
      </c>
      <c r="D10" s="683" t="s">
        <v>694</v>
      </c>
    </row>
    <row r="11" spans="2:8" s="15" customFormat="1" ht="16.5" customHeight="1">
      <c r="B11" s="977" t="s">
        <v>501</v>
      </c>
      <c r="C11" s="658" t="s">
        <v>502</v>
      </c>
      <c r="D11" s="684" t="s">
        <v>520</v>
      </c>
      <c r="H11" s="675"/>
    </row>
    <row r="12" spans="2:8" s="15" customFormat="1" ht="16.5" customHeight="1">
      <c r="B12" s="974"/>
      <c r="C12" s="673" t="s">
        <v>497</v>
      </c>
      <c r="D12" s="683" t="s">
        <v>694</v>
      </c>
    </row>
    <row r="13" spans="2:8" s="15" customFormat="1" ht="16.5" customHeight="1">
      <c r="B13" s="973" t="s">
        <v>503</v>
      </c>
      <c r="C13" s="671" t="s">
        <v>504</v>
      </c>
      <c r="D13" s="680" t="s">
        <v>698</v>
      </c>
    </row>
    <row r="14" spans="2:8" s="15" customFormat="1" ht="16.5" customHeight="1">
      <c r="B14" s="973"/>
      <c r="C14" s="671" t="s">
        <v>505</v>
      </c>
      <c r="D14" s="679" t="s">
        <v>699</v>
      </c>
    </row>
    <row r="15" spans="2:8" s="15" customFormat="1" ht="16.5" customHeight="1">
      <c r="B15" s="973"/>
      <c r="C15" s="671" t="s">
        <v>506</v>
      </c>
      <c r="D15" s="679" t="s">
        <v>700</v>
      </c>
    </row>
    <row r="16" spans="2:8" s="15" customFormat="1" ht="16.5" customHeight="1">
      <c r="B16" s="973"/>
      <c r="C16" s="671" t="s">
        <v>507</v>
      </c>
      <c r="D16" s="679" t="s">
        <v>701</v>
      </c>
    </row>
    <row r="17" spans="2:4" s="15" customFormat="1" ht="16.5" customHeight="1">
      <c r="B17" s="973"/>
      <c r="C17" s="671" t="s">
        <v>508</v>
      </c>
      <c r="D17" s="679" t="s">
        <v>702</v>
      </c>
    </row>
    <row r="18" spans="2:4" s="15" customFormat="1" ht="16.5" customHeight="1">
      <c r="B18" s="973"/>
      <c r="C18" s="671" t="s">
        <v>497</v>
      </c>
      <c r="D18" s="679" t="s">
        <v>694</v>
      </c>
    </row>
    <row r="19" spans="2:4" s="15" customFormat="1" ht="16.5" customHeight="1">
      <c r="B19" s="973"/>
      <c r="C19" s="671" t="s">
        <v>509</v>
      </c>
      <c r="D19" s="679" t="s">
        <v>524</v>
      </c>
    </row>
    <row r="20" spans="2:4" s="15" customFormat="1" ht="16.5" customHeight="1">
      <c r="B20" s="973"/>
      <c r="C20" s="671" t="s">
        <v>510</v>
      </c>
      <c r="D20" s="679" t="s">
        <v>521</v>
      </c>
    </row>
    <row r="21" spans="2:4" s="15" customFormat="1" ht="16.5" customHeight="1">
      <c r="B21" s="973"/>
      <c r="C21" s="671" t="s">
        <v>511</v>
      </c>
      <c r="D21" s="679" t="s">
        <v>523</v>
      </c>
    </row>
    <row r="22" spans="2:4" s="15" customFormat="1" ht="16.5" customHeight="1">
      <c r="B22" s="973"/>
      <c r="C22" s="671" t="s">
        <v>512</v>
      </c>
      <c r="D22" s="679" t="s">
        <v>526</v>
      </c>
    </row>
    <row r="23" spans="2:4" s="15" customFormat="1" ht="16.5" customHeight="1">
      <c r="B23" s="973"/>
      <c r="C23" s="671" t="s">
        <v>513</v>
      </c>
      <c r="D23" s="679" t="s">
        <v>527</v>
      </c>
    </row>
    <row r="24" spans="2:4" s="15" customFormat="1" ht="16.5" customHeight="1">
      <c r="B24" s="973"/>
      <c r="C24" s="671" t="s">
        <v>497</v>
      </c>
      <c r="D24" s="679" t="s">
        <v>694</v>
      </c>
    </row>
    <row r="25" spans="2:4" s="15" customFormat="1" ht="16.5" customHeight="1">
      <c r="B25" s="973"/>
      <c r="C25" s="671" t="s">
        <v>514</v>
      </c>
      <c r="D25" s="679" t="s">
        <v>694</v>
      </c>
    </row>
    <row r="26" spans="2:4" s="15" customFormat="1" ht="16.5" customHeight="1">
      <c r="B26" s="973"/>
      <c r="C26" s="671" t="s">
        <v>516</v>
      </c>
      <c r="D26" s="679" t="s">
        <v>522</v>
      </c>
    </row>
    <row r="27" spans="2:4" s="15" customFormat="1" ht="16.5" customHeight="1">
      <c r="B27" s="973"/>
      <c r="C27" s="671" t="s">
        <v>517</v>
      </c>
      <c r="D27" s="679" t="s">
        <v>525</v>
      </c>
    </row>
    <row r="28" spans="2:4" s="15" customFormat="1" ht="16.5" customHeight="1">
      <c r="B28" s="973"/>
      <c r="C28" s="671" t="s">
        <v>518</v>
      </c>
      <c r="D28" s="679" t="s">
        <v>694</v>
      </c>
    </row>
    <row r="29" spans="2:4" s="15" customFormat="1" ht="16.5" customHeight="1">
      <c r="B29" s="973"/>
      <c r="C29" s="80" t="s">
        <v>519</v>
      </c>
      <c r="D29" s="679" t="s">
        <v>528</v>
      </c>
    </row>
    <row r="30" spans="2:4" s="15" customFormat="1" ht="16.5" customHeight="1">
      <c r="B30" s="974"/>
      <c r="C30" s="674" t="s">
        <v>497</v>
      </c>
      <c r="D30" s="683" t="s">
        <v>694</v>
      </c>
    </row>
    <row r="31" spans="2:4" s="15" customFormat="1" ht="16.5" customHeight="1">
      <c r="B31" s="977" t="s">
        <v>543</v>
      </c>
      <c r="C31" s="671" t="s">
        <v>544</v>
      </c>
      <c r="D31" s="679" t="s">
        <v>694</v>
      </c>
    </row>
    <row r="32" spans="2:4" s="15" customFormat="1" ht="16.5" customHeight="1">
      <c r="B32" s="973"/>
      <c r="C32" s="671" t="s">
        <v>545</v>
      </c>
      <c r="D32" s="679" t="s">
        <v>694</v>
      </c>
    </row>
    <row r="33" spans="2:13" s="15" customFormat="1" ht="16.5" customHeight="1">
      <c r="B33" s="973"/>
      <c r="C33" s="671" t="s">
        <v>546</v>
      </c>
      <c r="D33" s="679" t="s">
        <v>694</v>
      </c>
    </row>
    <row r="34" spans="2:13" s="15" customFormat="1" ht="16.5" customHeight="1">
      <c r="B34" s="973"/>
      <c r="C34" s="671" t="s">
        <v>547</v>
      </c>
      <c r="D34" s="679" t="s">
        <v>694</v>
      </c>
    </row>
    <row r="35" spans="2:13" s="15" customFormat="1" ht="16.5" customHeight="1">
      <c r="B35" s="973"/>
      <c r="C35" s="671" t="s">
        <v>548</v>
      </c>
      <c r="D35" s="679" t="s">
        <v>703</v>
      </c>
    </row>
    <row r="36" spans="2:13" s="15" customFormat="1" ht="16.5" customHeight="1">
      <c r="B36" s="973"/>
      <c r="C36" s="671" t="s">
        <v>497</v>
      </c>
      <c r="D36" s="679" t="s">
        <v>694</v>
      </c>
    </row>
    <row r="37" spans="2:13" s="15" customFormat="1" ht="16.5" customHeight="1">
      <c r="B37" s="973"/>
      <c r="C37" s="671" t="s">
        <v>549</v>
      </c>
      <c r="D37" s="679" t="s">
        <v>694</v>
      </c>
    </row>
    <row r="38" spans="2:13" s="15" customFormat="1" ht="16.5" customHeight="1">
      <c r="B38" s="973"/>
      <c r="C38" s="671" t="s">
        <v>550</v>
      </c>
      <c r="D38" s="679" t="s">
        <v>694</v>
      </c>
    </row>
    <row r="39" spans="2:13" s="15" customFormat="1" ht="16.5" customHeight="1">
      <c r="B39" s="973"/>
      <c r="C39" s="671" t="s">
        <v>551</v>
      </c>
      <c r="D39" s="679" t="s">
        <v>694</v>
      </c>
    </row>
    <row r="40" spans="2:13" s="15" customFormat="1" ht="16.5" customHeight="1">
      <c r="B40" s="973"/>
      <c r="C40" s="671" t="s">
        <v>552</v>
      </c>
      <c r="D40" s="679" t="s">
        <v>694</v>
      </c>
    </row>
    <row r="41" spans="2:13" s="15" customFormat="1" ht="16.5" customHeight="1">
      <c r="B41" s="973"/>
      <c r="C41" s="671" t="s">
        <v>553</v>
      </c>
      <c r="D41" s="679" t="s">
        <v>694</v>
      </c>
    </row>
    <row r="42" spans="2:13" s="15" customFormat="1" ht="16.5" customHeight="1">
      <c r="B42" s="973"/>
      <c r="C42" s="659" t="s">
        <v>497</v>
      </c>
      <c r="D42" s="703" t="s">
        <v>694</v>
      </c>
    </row>
    <row r="43" spans="2:13" s="15" customFormat="1" ht="27.75" customHeight="1" thickBot="1">
      <c r="B43" s="1130"/>
      <c r="C43" s="660" t="s">
        <v>554</v>
      </c>
      <c r="D43" s="704" t="s">
        <v>694</v>
      </c>
      <c r="E43" s="699"/>
      <c r="F43" s="699"/>
      <c r="G43" s="699"/>
      <c r="H43" s="699"/>
      <c r="I43" s="699"/>
      <c r="J43" s="699"/>
      <c r="K43" s="699"/>
      <c r="L43" s="699"/>
      <c r="M43" s="699"/>
    </row>
    <row r="44" spans="2:13" ht="7.5" customHeight="1" thickTop="1"/>
    <row r="45" spans="2:13" s="15" customFormat="1" ht="14.25" customHeight="1">
      <c r="B45" s="886" t="s">
        <v>368</v>
      </c>
      <c r="C45" s="659"/>
      <c r="D45" s="705" t="s">
        <v>121</v>
      </c>
      <c r="E45" s="699"/>
      <c r="F45" s="699"/>
      <c r="G45" s="699"/>
      <c r="H45" s="699"/>
      <c r="I45" s="699"/>
      <c r="J45" s="699"/>
      <c r="K45" s="699"/>
      <c r="L45" s="699"/>
      <c r="M45" s="699"/>
    </row>
    <row r="46" spans="2:13" s="15" customFormat="1" ht="14.25" customHeight="1">
      <c r="B46" s="1132" t="s">
        <v>596</v>
      </c>
      <c r="C46" s="1132"/>
      <c r="D46" s="1132"/>
      <c r="E46" s="699"/>
      <c r="F46" s="699"/>
      <c r="G46" s="699"/>
      <c r="H46" s="699"/>
      <c r="I46" s="699"/>
      <c r="J46" s="699"/>
      <c r="K46" s="699"/>
      <c r="L46" s="699"/>
      <c r="M46" s="699"/>
    </row>
    <row r="47" spans="2:13" s="15" customFormat="1" ht="16.5" customHeight="1">
      <c r="B47" s="900" t="s">
        <v>287</v>
      </c>
      <c r="C47" s="900"/>
      <c r="D47" s="926">
        <v>67</v>
      </c>
      <c r="E47" s="238"/>
      <c r="F47" s="699"/>
      <c r="G47" s="706"/>
      <c r="H47" s="707"/>
      <c r="I47" s="171"/>
      <c r="J47" s="171"/>
      <c r="K47" s="171">
        <v>61</v>
      </c>
    </row>
    <row r="48" spans="2:13" ht="23.25" customHeight="1">
      <c r="B48" s="947" t="s">
        <v>515</v>
      </c>
      <c r="C48" s="947"/>
      <c r="D48" s="947"/>
    </row>
    <row r="49" spans="2:4" s="226" customFormat="1" ht="23.25" customHeight="1" thickBot="1">
      <c r="B49" s="948" t="s">
        <v>732</v>
      </c>
      <c r="C49" s="948"/>
      <c r="D49" s="948"/>
    </row>
    <row r="50" spans="2:4" s="15" customFormat="1" ht="32.25" customHeight="1" thickTop="1" thickBot="1">
      <c r="B50" s="672" t="s">
        <v>494</v>
      </c>
      <c r="C50" s="672" t="s">
        <v>245</v>
      </c>
      <c r="D50" s="938" t="s">
        <v>495</v>
      </c>
    </row>
    <row r="51" spans="2:4" s="15" customFormat="1" ht="16.5" customHeight="1">
      <c r="B51" s="1131" t="s">
        <v>576</v>
      </c>
      <c r="C51" s="671" t="s">
        <v>555</v>
      </c>
      <c r="D51" s="682" t="s">
        <v>694</v>
      </c>
    </row>
    <row r="52" spans="2:4" s="15" customFormat="1" ht="16.5" customHeight="1">
      <c r="B52" s="973"/>
      <c r="C52" s="671" t="s">
        <v>556</v>
      </c>
      <c r="D52" s="679" t="s">
        <v>694</v>
      </c>
    </row>
    <row r="53" spans="2:4" s="15" customFormat="1" ht="16.5" customHeight="1">
      <c r="B53" s="973"/>
      <c r="C53" s="671" t="s">
        <v>557</v>
      </c>
      <c r="D53" s="703" t="s">
        <v>694</v>
      </c>
    </row>
    <row r="54" spans="2:4" s="15" customFormat="1" ht="16.5" customHeight="1">
      <c r="B54" s="973"/>
      <c r="C54" s="671" t="s">
        <v>558</v>
      </c>
      <c r="D54" s="703" t="s">
        <v>694</v>
      </c>
    </row>
    <row r="55" spans="2:4" s="15" customFormat="1" ht="16.5" customHeight="1">
      <c r="B55" s="974"/>
      <c r="C55" s="673" t="s">
        <v>497</v>
      </c>
      <c r="D55" s="683" t="s">
        <v>694</v>
      </c>
    </row>
    <row r="56" spans="2:4" s="15" customFormat="1" ht="16.5" customHeight="1">
      <c r="B56" s="977" t="s">
        <v>529</v>
      </c>
      <c r="C56" s="671" t="s">
        <v>278</v>
      </c>
      <c r="D56" s="680" t="s">
        <v>559</v>
      </c>
    </row>
    <row r="57" spans="2:4" s="15" customFormat="1" ht="16.5" customHeight="1">
      <c r="B57" s="973"/>
      <c r="C57" s="671" t="s">
        <v>530</v>
      </c>
      <c r="D57" s="679" t="s">
        <v>694</v>
      </c>
    </row>
    <row r="58" spans="2:4" s="15" customFormat="1" ht="16.5" customHeight="1">
      <c r="B58" s="973"/>
      <c r="C58" s="671" t="s">
        <v>153</v>
      </c>
      <c r="D58" s="703" t="s">
        <v>694</v>
      </c>
    </row>
    <row r="59" spans="2:4" s="15" customFormat="1" ht="16.5" customHeight="1">
      <c r="B59" s="973"/>
      <c r="C59" s="671" t="s">
        <v>531</v>
      </c>
      <c r="D59" s="679" t="s">
        <v>560</v>
      </c>
    </row>
    <row r="60" spans="2:4" s="15" customFormat="1" ht="16.5" customHeight="1">
      <c r="B60" s="973"/>
      <c r="C60" s="671" t="s">
        <v>532</v>
      </c>
      <c r="D60" s="679" t="s">
        <v>704</v>
      </c>
    </row>
    <row r="61" spans="2:4" s="15" customFormat="1" ht="16.5" customHeight="1">
      <c r="B61" s="973"/>
      <c r="C61" s="671" t="s">
        <v>533</v>
      </c>
      <c r="D61" s="679" t="s">
        <v>561</v>
      </c>
    </row>
    <row r="62" spans="2:4" s="15" customFormat="1" ht="16.5" customHeight="1">
      <c r="B62" s="973"/>
      <c r="C62" s="671" t="s">
        <v>534</v>
      </c>
      <c r="D62" s="679" t="s">
        <v>705</v>
      </c>
    </row>
    <row r="63" spans="2:4" s="15" customFormat="1" ht="16.5" customHeight="1">
      <c r="B63" s="973"/>
      <c r="C63" s="671" t="s">
        <v>540</v>
      </c>
      <c r="D63" s="679" t="s">
        <v>562</v>
      </c>
    </row>
    <row r="64" spans="2:4" s="15" customFormat="1" ht="16.5" customHeight="1">
      <c r="B64" s="973"/>
      <c r="C64" s="671" t="s">
        <v>150</v>
      </c>
      <c r="D64" s="679" t="s">
        <v>563</v>
      </c>
    </row>
    <row r="65" spans="1:4" s="15" customFormat="1" ht="16.5" customHeight="1">
      <c r="B65" s="973"/>
      <c r="C65" s="671" t="s">
        <v>541</v>
      </c>
      <c r="D65" s="703" t="s">
        <v>706</v>
      </c>
    </row>
    <row r="66" spans="1:4" s="15" customFormat="1" ht="16.5" customHeight="1">
      <c r="B66" s="974"/>
      <c r="C66" s="674" t="s">
        <v>542</v>
      </c>
      <c r="D66" s="683" t="s">
        <v>694</v>
      </c>
    </row>
    <row r="67" spans="1:4" s="15" customFormat="1" ht="16.5" customHeight="1">
      <c r="A67" s="699"/>
      <c r="B67" s="657" t="s">
        <v>564</v>
      </c>
      <c r="C67" s="674" t="s">
        <v>565</v>
      </c>
      <c r="D67" s="702" t="s">
        <v>694</v>
      </c>
    </row>
    <row r="68" spans="1:4" s="15" customFormat="1" ht="27.75" customHeight="1">
      <c r="B68" s="700" t="s">
        <v>566</v>
      </c>
      <c r="C68" s="701" t="s">
        <v>567</v>
      </c>
      <c r="D68" s="702" t="s">
        <v>694</v>
      </c>
    </row>
    <row r="69" spans="1:4" s="15" customFormat="1" ht="16.5" customHeight="1">
      <c r="B69" s="977" t="s">
        <v>568</v>
      </c>
      <c r="C69" s="671" t="s">
        <v>569</v>
      </c>
      <c r="D69" s="887" t="s">
        <v>694</v>
      </c>
    </row>
    <row r="70" spans="1:4" s="15" customFormat="1" ht="16.5" customHeight="1">
      <c r="B70" s="973"/>
      <c r="C70" s="671" t="s">
        <v>570</v>
      </c>
      <c r="D70" s="703" t="s">
        <v>694</v>
      </c>
    </row>
    <row r="71" spans="1:4" s="15" customFormat="1" ht="16.5" customHeight="1">
      <c r="B71" s="973"/>
      <c r="C71" s="671" t="s">
        <v>0</v>
      </c>
      <c r="D71" s="703" t="s">
        <v>694</v>
      </c>
    </row>
    <row r="72" spans="1:4" s="15" customFormat="1" ht="16.5" customHeight="1">
      <c r="B72" s="974"/>
      <c r="C72" s="673" t="s">
        <v>571</v>
      </c>
      <c r="D72" s="683" t="s">
        <v>694</v>
      </c>
    </row>
    <row r="73" spans="1:4" s="15" customFormat="1" ht="16.5" customHeight="1">
      <c r="B73" s="977" t="s">
        <v>572</v>
      </c>
      <c r="C73" s="658" t="s">
        <v>573</v>
      </c>
      <c r="D73" s="684" t="s">
        <v>694</v>
      </c>
    </row>
    <row r="74" spans="1:4" ht="16.5" customHeight="1">
      <c r="B74" s="974"/>
      <c r="C74" s="673" t="s">
        <v>574</v>
      </c>
      <c r="D74" s="683" t="s">
        <v>694</v>
      </c>
    </row>
    <row r="75" spans="1:4" ht="16.5" customHeight="1">
      <c r="D75" s="670"/>
    </row>
    <row r="76" spans="1:4" ht="16.5" customHeight="1">
      <c r="B76" s="973" t="s">
        <v>596</v>
      </c>
      <c r="C76" s="973"/>
      <c r="D76" s="973"/>
    </row>
    <row r="77" spans="1:4" ht="16.5" customHeight="1">
      <c r="D77" s="670"/>
    </row>
    <row r="78" spans="1:4" ht="16.5" customHeight="1">
      <c r="D78" s="670"/>
    </row>
    <row r="79" spans="1:4" ht="16.5" customHeight="1">
      <c r="D79" s="670"/>
    </row>
    <row r="80" spans="1:4" ht="16.5" customHeight="1">
      <c r="D80" s="670"/>
    </row>
    <row r="81" spans="2:11" ht="16.5" customHeight="1">
      <c r="D81" s="670"/>
    </row>
    <row r="82" spans="2:11" ht="16.5" customHeight="1">
      <c r="D82" s="670"/>
    </row>
    <row r="83" spans="2:11" ht="16.5" customHeight="1">
      <c r="D83" s="670"/>
    </row>
    <row r="84" spans="2:11" ht="16.5" customHeight="1">
      <c r="D84" s="670"/>
    </row>
    <row r="85" spans="2:11" ht="16.5" customHeight="1">
      <c r="D85" s="670"/>
    </row>
    <row r="86" spans="2:11" ht="16.5" customHeight="1">
      <c r="D86" s="670"/>
    </row>
    <row r="87" spans="2:11" ht="16.5" customHeight="1">
      <c r="D87" s="670"/>
    </row>
    <row r="88" spans="2:11" ht="16.5" customHeight="1">
      <c r="D88" s="670"/>
    </row>
    <row r="89" spans="2:11" ht="16.5" customHeight="1">
      <c r="D89" s="670"/>
    </row>
    <row r="90" spans="2:11" ht="16.5" customHeight="1">
      <c r="D90" s="670"/>
    </row>
    <row r="91" spans="2:11" s="15" customFormat="1" ht="16.5" customHeight="1">
      <c r="B91" s="900" t="s">
        <v>287</v>
      </c>
      <c r="C91" s="900"/>
      <c r="D91" s="926">
        <v>68</v>
      </c>
      <c r="E91" s="238"/>
      <c r="F91" s="699"/>
      <c r="G91" s="706"/>
      <c r="H91" s="707"/>
      <c r="I91" s="171"/>
      <c r="J91" s="171"/>
      <c r="K91" s="171">
        <v>61</v>
      </c>
    </row>
    <row r="92" spans="2:11" ht="16.5" customHeight="1">
      <c r="D92" s="670"/>
    </row>
    <row r="93" spans="2:11" ht="16.5" customHeight="1">
      <c r="D93" s="670"/>
    </row>
    <row r="94" spans="2:11" ht="16.5" customHeight="1">
      <c r="D94" s="670"/>
    </row>
    <row r="95" spans="2:11" ht="16.5" customHeight="1"/>
    <row r="96" spans="2:11" ht="16.5" customHeight="1"/>
    <row r="97" ht="16.5" customHeight="1"/>
    <row r="98" ht="16.5" customHeight="1"/>
  </sheetData>
  <mergeCells count="15">
    <mergeCell ref="B1:D1"/>
    <mergeCell ref="B2:D2"/>
    <mergeCell ref="B31:B43"/>
    <mergeCell ref="B51:B55"/>
    <mergeCell ref="B4:B7"/>
    <mergeCell ref="B8:B10"/>
    <mergeCell ref="B11:B12"/>
    <mergeCell ref="B13:B30"/>
    <mergeCell ref="B46:D46"/>
    <mergeCell ref="B76:D76"/>
    <mergeCell ref="B56:B66"/>
    <mergeCell ref="B69:B72"/>
    <mergeCell ref="B73:B74"/>
    <mergeCell ref="B48:D48"/>
    <mergeCell ref="B49:D49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AD28"/>
  <sheetViews>
    <sheetView rightToLeft="1" view="pageBreakPreview" topLeftCell="A10" zoomScaleNormal="120" zoomScaleSheetLayoutView="100" workbookViewId="0">
      <selection activeCell="B6" sqref="B6"/>
    </sheetView>
  </sheetViews>
  <sheetFormatPr defaultColWidth="9.125" defaultRowHeight="15"/>
  <cols>
    <col min="1" max="1" width="5.125" style="1" customWidth="1"/>
    <col min="2" max="4" width="22.875" style="1" customWidth="1"/>
    <col min="5" max="5" width="5.375" style="1" customWidth="1"/>
    <col min="6" max="16384" width="9.125" style="1"/>
  </cols>
  <sheetData>
    <row r="2" spans="1:28" ht="22.5" customHeight="1"/>
    <row r="3" spans="1:28" customFormat="1" ht="42" customHeight="1">
      <c r="A3" s="229"/>
      <c r="B3" s="972" t="s">
        <v>749</v>
      </c>
      <c r="C3" s="972"/>
      <c r="D3" s="97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8"/>
      <c r="Q3" s="22"/>
      <c r="R3" s="2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8.75" customHeight="1" thickBot="1">
      <c r="A4" s="229"/>
      <c r="B4" s="229" t="s">
        <v>306</v>
      </c>
      <c r="C4" s="229"/>
      <c r="D4" s="229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8" ht="33" customHeight="1" thickTop="1">
      <c r="A5" s="239"/>
      <c r="B5" s="255" t="s">
        <v>46</v>
      </c>
      <c r="C5" s="255" t="s">
        <v>443</v>
      </c>
      <c r="D5" s="260" t="s">
        <v>707</v>
      </c>
      <c r="E5" s="23"/>
      <c r="F5" s="23"/>
      <c r="G5" s="23"/>
      <c r="H5" s="23"/>
      <c r="I5" s="23"/>
      <c r="J5" s="23"/>
      <c r="K5" s="23"/>
      <c r="L5" s="23">
        <f>43.8/40.69*100</f>
        <v>107.64315556647826</v>
      </c>
      <c r="M5" s="23"/>
      <c r="N5" s="23"/>
      <c r="O5" s="23"/>
      <c r="P5" s="23"/>
      <c r="Q5" s="23"/>
      <c r="R5" s="23"/>
    </row>
    <row r="6" spans="1:28" ht="32.25" customHeight="1">
      <c r="A6" s="227"/>
      <c r="B6" s="901" t="s">
        <v>284</v>
      </c>
      <c r="C6" s="285">
        <f>D6/D10*100</f>
        <v>86.303768845302159</v>
      </c>
      <c r="D6" s="889">
        <v>37818773354</v>
      </c>
    </row>
    <row r="7" spans="1:28" ht="32.25" customHeight="1">
      <c r="A7" s="227"/>
      <c r="B7" s="66" t="s">
        <v>331</v>
      </c>
      <c r="C7" s="103">
        <f>D7/D10*100</f>
        <v>9.5283171341024389</v>
      </c>
      <c r="D7" s="126">
        <v>4175359558</v>
      </c>
      <c r="G7" s="14">
        <f>'5'!K25</f>
        <v>42.489999999999995</v>
      </c>
      <c r="H7" s="91">
        <v>86</v>
      </c>
      <c r="I7" s="14">
        <f>H7*G7/100</f>
        <v>36.541399999999996</v>
      </c>
      <c r="M7" s="14"/>
    </row>
    <row r="8" spans="1:28" ht="32.25" customHeight="1">
      <c r="A8" s="227"/>
      <c r="B8" s="66" t="s">
        <v>285</v>
      </c>
      <c r="C8" s="103">
        <f>D8/D10*100</f>
        <v>2.4523496998991692</v>
      </c>
      <c r="D8" s="126">
        <v>1074632762</v>
      </c>
      <c r="G8" s="14"/>
      <c r="H8" s="89">
        <v>3</v>
      </c>
      <c r="I8" s="14">
        <f>H8*G7/100</f>
        <v>1.2746999999999999</v>
      </c>
      <c r="M8" s="14"/>
    </row>
    <row r="9" spans="1:28" ht="32.25" customHeight="1">
      <c r="A9" s="236"/>
      <c r="B9" s="903" t="s">
        <v>286</v>
      </c>
      <c r="C9" s="904">
        <f>D9/D10*100</f>
        <v>1.7155643206962441</v>
      </c>
      <c r="D9" s="890">
        <v>751769466</v>
      </c>
      <c r="G9" s="14"/>
      <c r="H9" s="161">
        <v>5</v>
      </c>
      <c r="I9" s="14">
        <f>H9*G7/100</f>
        <v>2.1244999999999998</v>
      </c>
      <c r="M9" s="14"/>
    </row>
    <row r="10" spans="1:28" ht="32.25" customHeight="1" thickBot="1">
      <c r="A10" s="236"/>
      <c r="B10" s="478" t="s">
        <v>269</v>
      </c>
      <c r="C10" s="479">
        <f>SUM(C6:C9)</f>
        <v>100.00000000000001</v>
      </c>
      <c r="D10" s="888">
        <f>SUM(D6:D9)</f>
        <v>43820535140</v>
      </c>
      <c r="G10" s="14" t="s">
        <v>291</v>
      </c>
      <c r="H10" s="161">
        <v>6</v>
      </c>
      <c r="I10" s="14">
        <f>H10*G7/100</f>
        <v>2.5493999999999999</v>
      </c>
      <c r="M10" s="14"/>
    </row>
    <row r="11" spans="1:28" ht="15.75" thickTop="1">
      <c r="G11" s="14"/>
      <c r="I11" s="14">
        <f>SUM(I7:I10)</f>
        <v>42.489999999999995</v>
      </c>
      <c r="M11" s="14"/>
    </row>
    <row r="12" spans="1:28" ht="12" customHeight="1">
      <c r="A12" s="237"/>
      <c r="B12" s="963" t="s">
        <v>7</v>
      </c>
      <c r="C12" s="963"/>
      <c r="D12" s="963"/>
      <c r="G12" s="14"/>
      <c r="M12" s="14"/>
    </row>
    <row r="13" spans="1:28" ht="12" customHeight="1">
      <c r="B13" s="963"/>
      <c r="C13" s="963"/>
      <c r="D13" s="963"/>
    </row>
    <row r="16" spans="1:28" ht="26.25" customHeight="1">
      <c r="A16" s="971"/>
      <c r="B16" s="971"/>
      <c r="C16" s="971"/>
      <c r="D16" s="971"/>
    </row>
    <row r="18" spans="1:30" ht="21.75" customHeight="1"/>
    <row r="19" spans="1:30" ht="12" customHeight="1"/>
    <row r="20" spans="1:30" ht="27" customHeight="1"/>
    <row r="21" spans="1:30" ht="32.25" customHeight="1"/>
    <row r="22" spans="1:30" customFormat="1" ht="24.75" customHeight="1">
      <c r="A22" s="238"/>
      <c r="B22" s="228" t="s">
        <v>287</v>
      </c>
      <c r="C22" s="228"/>
      <c r="D22" s="335">
        <v>25</v>
      </c>
      <c r="E22" s="11"/>
      <c r="F22" s="11"/>
      <c r="G22" s="11"/>
      <c r="H22" s="11"/>
      <c r="I22" s="11"/>
      <c r="J22" s="11"/>
      <c r="K22" s="11"/>
      <c r="AD22" s="12"/>
    </row>
    <row r="23" spans="1:30" ht="21.75" customHeight="1"/>
    <row r="28" spans="1:30">
      <c r="C28" s="14">
        <f>'5'!P5+'5'!P7+'5'!P9+'5'!P11+'5'!P13</f>
        <v>39.812448000000003</v>
      </c>
    </row>
  </sheetData>
  <mergeCells count="3">
    <mergeCell ref="A16:D16"/>
    <mergeCell ref="B3:D3"/>
    <mergeCell ref="B12:D13"/>
  </mergeCells>
  <printOptions horizontalCentered="1"/>
  <pageMargins left="1.45" right="1.45" top="0.7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I51"/>
  <sheetViews>
    <sheetView rightToLeft="1" view="pageBreakPreview" zoomScaleSheetLayoutView="100" workbookViewId="0">
      <selection activeCell="K7" sqref="K7"/>
    </sheetView>
  </sheetViews>
  <sheetFormatPr defaultRowHeight="14.25"/>
  <cols>
    <col min="1" max="1" width="15" customWidth="1"/>
    <col min="2" max="2" width="11.625" customWidth="1"/>
    <col min="3" max="9" width="6.625" customWidth="1"/>
    <col min="10" max="10" width="1.125" customWidth="1"/>
    <col min="11" max="15" width="6.625" customWidth="1"/>
    <col min="16" max="16" width="10.75" customWidth="1"/>
    <col min="17" max="17" width="12" bestFit="1" customWidth="1"/>
    <col min="18" max="18" width="7.625" customWidth="1"/>
    <col min="31" max="32" width="9.125" customWidth="1"/>
    <col min="33" max="33" width="10.375" bestFit="1" customWidth="1"/>
  </cols>
  <sheetData>
    <row r="1" spans="1:35" ht="23.25" customHeight="1">
      <c r="A1" s="947" t="s">
        <v>742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Y1">
        <v>44.99</v>
      </c>
      <c r="Z1">
        <f>Y1*86/100</f>
        <v>38.691400000000002</v>
      </c>
    </row>
    <row r="2" spans="1:35" ht="20.25" customHeight="1" thickBot="1">
      <c r="A2" s="986" t="s">
        <v>305</v>
      </c>
      <c r="B2" s="986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</row>
    <row r="3" spans="1:35" ht="26.25" customHeight="1" thickTop="1">
      <c r="A3" s="989" t="s">
        <v>0</v>
      </c>
      <c r="B3" s="989" t="s">
        <v>4</v>
      </c>
      <c r="C3" s="988" t="s">
        <v>320</v>
      </c>
      <c r="D3" s="988"/>
      <c r="E3" s="988"/>
      <c r="F3" s="988"/>
      <c r="G3" s="988"/>
      <c r="H3" s="988"/>
      <c r="I3" s="988"/>
      <c r="J3" s="283"/>
      <c r="K3" s="988" t="s">
        <v>321</v>
      </c>
      <c r="L3" s="988"/>
      <c r="M3" s="988"/>
      <c r="N3" s="988"/>
      <c r="O3" s="988"/>
      <c r="P3" s="984" t="s">
        <v>290</v>
      </c>
    </row>
    <row r="4" spans="1:35" ht="26.25" customHeight="1">
      <c r="A4" s="990"/>
      <c r="B4" s="990"/>
      <c r="C4" s="261" t="s">
        <v>17</v>
      </c>
      <c r="D4" s="261" t="s">
        <v>18</v>
      </c>
      <c r="E4" s="261" t="s">
        <v>19</v>
      </c>
      <c r="F4" s="261" t="s">
        <v>20</v>
      </c>
      <c r="G4" s="261" t="s">
        <v>40</v>
      </c>
      <c r="H4" s="261" t="s">
        <v>22</v>
      </c>
      <c r="I4" s="261" t="s">
        <v>23</v>
      </c>
      <c r="J4" s="291"/>
      <c r="K4" s="261" t="s">
        <v>24</v>
      </c>
      <c r="L4" s="261" t="s">
        <v>25</v>
      </c>
      <c r="M4" s="261" t="s">
        <v>41</v>
      </c>
      <c r="N4" s="261" t="s">
        <v>27</v>
      </c>
      <c r="O4" s="261" t="s">
        <v>226</v>
      </c>
      <c r="P4" s="985"/>
      <c r="AE4" t="s">
        <v>262</v>
      </c>
      <c r="AG4" t="s">
        <v>430</v>
      </c>
      <c r="AH4" t="s">
        <v>263</v>
      </c>
    </row>
    <row r="5" spans="1:35" ht="25.5" customHeight="1">
      <c r="A5" s="973" t="s">
        <v>42</v>
      </c>
      <c r="B5" s="621" t="s">
        <v>416</v>
      </c>
      <c r="C5" s="200">
        <v>551</v>
      </c>
      <c r="D5" s="200">
        <v>538</v>
      </c>
      <c r="E5" s="200">
        <v>543</v>
      </c>
      <c r="F5" s="200">
        <v>828</v>
      </c>
      <c r="G5" s="200">
        <v>701</v>
      </c>
      <c r="H5" s="200">
        <v>629</v>
      </c>
      <c r="I5" s="200">
        <v>637</v>
      </c>
      <c r="J5" s="200"/>
      <c r="K5" s="200">
        <v>716</v>
      </c>
      <c r="L5" s="200">
        <v>723</v>
      </c>
      <c r="M5" s="200">
        <v>749</v>
      </c>
      <c r="N5" s="200">
        <v>699</v>
      </c>
      <c r="O5" s="200">
        <v>664</v>
      </c>
      <c r="P5" s="201">
        <v>20.966184000000002</v>
      </c>
      <c r="R5" s="200">
        <v>551</v>
      </c>
      <c r="S5" s="200">
        <v>538</v>
      </c>
      <c r="T5" s="200">
        <v>543</v>
      </c>
      <c r="U5" s="200">
        <v>828</v>
      </c>
      <c r="V5" s="200">
        <v>701</v>
      </c>
      <c r="W5" s="200">
        <v>629</v>
      </c>
      <c r="X5" s="200">
        <v>637</v>
      </c>
      <c r="Y5" s="200"/>
      <c r="Z5" s="200">
        <v>716</v>
      </c>
      <c r="AA5" s="200">
        <v>723</v>
      </c>
      <c r="AB5" s="200">
        <v>749</v>
      </c>
      <c r="AC5" s="200">
        <v>699</v>
      </c>
      <c r="AD5" s="200">
        <v>664</v>
      </c>
      <c r="AE5">
        <f t="shared" ref="AE5:AE14" si="0">SUM(R5:AD5)</f>
        <v>7978</v>
      </c>
      <c r="AF5">
        <f>AE5*60*60*24*365</f>
        <v>251594208000</v>
      </c>
      <c r="AG5">
        <f>AF5/1000000000</f>
        <v>251.59420800000001</v>
      </c>
      <c r="AH5" s="13">
        <f>AG5/12</f>
        <v>20.966184000000002</v>
      </c>
    </row>
    <row r="6" spans="1:35" ht="25.5" customHeight="1">
      <c r="A6" s="974"/>
      <c r="B6" s="446" t="s">
        <v>461</v>
      </c>
      <c r="C6" s="94">
        <v>692</v>
      </c>
      <c r="D6" s="94">
        <v>675</v>
      </c>
      <c r="E6" s="94">
        <v>593</v>
      </c>
      <c r="F6" s="94">
        <v>619</v>
      </c>
      <c r="G6" s="94">
        <v>652</v>
      </c>
      <c r="H6" s="94">
        <v>735</v>
      </c>
      <c r="I6" s="94">
        <v>755</v>
      </c>
      <c r="J6" s="94"/>
      <c r="K6" s="94">
        <v>720</v>
      </c>
      <c r="L6" s="94">
        <v>685</v>
      </c>
      <c r="M6" s="94">
        <v>700</v>
      </c>
      <c r="N6" s="94">
        <v>645</v>
      </c>
      <c r="O6" s="94">
        <v>646</v>
      </c>
      <c r="P6" s="96">
        <v>21.331475999999999</v>
      </c>
      <c r="R6" s="94">
        <v>692</v>
      </c>
      <c r="S6" s="94">
        <v>675</v>
      </c>
      <c r="T6" s="94">
        <v>593</v>
      </c>
      <c r="U6" s="94">
        <v>619</v>
      </c>
      <c r="V6" s="94">
        <v>652</v>
      </c>
      <c r="W6" s="94">
        <v>735</v>
      </c>
      <c r="X6" s="94">
        <v>755</v>
      </c>
      <c r="Y6" s="94"/>
      <c r="Z6" s="94">
        <v>720</v>
      </c>
      <c r="AA6" s="94">
        <v>685</v>
      </c>
      <c r="AB6" s="94">
        <v>700</v>
      </c>
      <c r="AC6" s="94">
        <v>645</v>
      </c>
      <c r="AD6" s="94">
        <v>646</v>
      </c>
      <c r="AE6" s="13">
        <f t="shared" si="0"/>
        <v>8117</v>
      </c>
      <c r="AF6">
        <f t="shared" ref="AF6:AF14" si="1">AE6*60*60*24*365</f>
        <v>255977712000</v>
      </c>
      <c r="AG6">
        <f t="shared" ref="AG6:AG14" si="2">AF6/1000000000</f>
        <v>255.977712</v>
      </c>
      <c r="AH6" s="13">
        <f t="shared" ref="AH6:AH14" si="3">AG6/12</f>
        <v>21.331475999999999</v>
      </c>
    </row>
    <row r="7" spans="1:35" ht="25.5" customHeight="1">
      <c r="A7" s="975" t="s">
        <v>43</v>
      </c>
      <c r="B7" s="621" t="s">
        <v>416</v>
      </c>
      <c r="C7" s="200">
        <v>339</v>
      </c>
      <c r="D7" s="200">
        <v>428</v>
      </c>
      <c r="E7" s="200">
        <v>399</v>
      </c>
      <c r="F7" s="200">
        <v>423</v>
      </c>
      <c r="G7" s="200">
        <v>432</v>
      </c>
      <c r="H7" s="200">
        <v>422</v>
      </c>
      <c r="I7" s="200">
        <v>439</v>
      </c>
      <c r="J7" s="200"/>
      <c r="K7" s="200">
        <v>584</v>
      </c>
      <c r="L7" s="200">
        <v>652</v>
      </c>
      <c r="M7" s="200">
        <v>590</v>
      </c>
      <c r="N7" s="200">
        <v>578</v>
      </c>
      <c r="O7" s="200">
        <v>530</v>
      </c>
      <c r="P7" s="201">
        <v>15.284447999999999</v>
      </c>
      <c r="R7" s="200">
        <v>339</v>
      </c>
      <c r="S7" s="200">
        <v>428</v>
      </c>
      <c r="T7" s="200">
        <v>399</v>
      </c>
      <c r="U7" s="200">
        <v>423</v>
      </c>
      <c r="V7" s="200">
        <v>432</v>
      </c>
      <c r="W7" s="200">
        <v>422</v>
      </c>
      <c r="X7" s="200">
        <v>439</v>
      </c>
      <c r="Y7" s="200"/>
      <c r="Z7" s="200">
        <v>584</v>
      </c>
      <c r="AA7" s="200">
        <v>652</v>
      </c>
      <c r="AB7" s="200">
        <v>590</v>
      </c>
      <c r="AC7" s="200">
        <v>578</v>
      </c>
      <c r="AD7" s="200">
        <v>530</v>
      </c>
      <c r="AE7">
        <f t="shared" si="0"/>
        <v>5816</v>
      </c>
      <c r="AF7">
        <f t="shared" si="1"/>
        <v>183413376000</v>
      </c>
      <c r="AG7">
        <f t="shared" si="2"/>
        <v>183.413376</v>
      </c>
      <c r="AH7" s="13">
        <f t="shared" si="3"/>
        <v>15.284447999999999</v>
      </c>
    </row>
    <row r="8" spans="1:35" ht="25.5" customHeight="1">
      <c r="A8" s="976"/>
      <c r="B8" s="446" t="s">
        <v>461</v>
      </c>
      <c r="C8" s="94">
        <v>562</v>
      </c>
      <c r="D8" s="94">
        <v>506</v>
      </c>
      <c r="E8" s="94">
        <v>390</v>
      </c>
      <c r="F8" s="94">
        <v>474</v>
      </c>
      <c r="G8" s="94">
        <v>495</v>
      </c>
      <c r="H8" s="94">
        <v>467</v>
      </c>
      <c r="I8" s="94">
        <v>468</v>
      </c>
      <c r="J8" s="94"/>
      <c r="K8" s="94">
        <v>675</v>
      </c>
      <c r="L8" s="94">
        <v>675</v>
      </c>
      <c r="M8" s="94">
        <v>639</v>
      </c>
      <c r="N8" s="94">
        <v>586</v>
      </c>
      <c r="O8" s="94">
        <v>664</v>
      </c>
      <c r="P8" s="96">
        <v>17.347428000000001</v>
      </c>
      <c r="R8" s="94">
        <v>562</v>
      </c>
      <c r="S8" s="94">
        <v>506</v>
      </c>
      <c r="T8" s="94">
        <v>390</v>
      </c>
      <c r="U8" s="94">
        <v>474</v>
      </c>
      <c r="V8" s="94">
        <v>495</v>
      </c>
      <c r="W8" s="94">
        <v>467</v>
      </c>
      <c r="X8" s="94">
        <v>468</v>
      </c>
      <c r="Y8" s="94"/>
      <c r="Z8" s="94">
        <v>675</v>
      </c>
      <c r="AA8" s="94">
        <v>675</v>
      </c>
      <c r="AB8" s="94">
        <v>639</v>
      </c>
      <c r="AC8" s="94">
        <v>586</v>
      </c>
      <c r="AD8" s="94">
        <v>664</v>
      </c>
      <c r="AE8" s="13">
        <f t="shared" si="0"/>
        <v>6601</v>
      </c>
      <c r="AF8">
        <f t="shared" si="1"/>
        <v>208169136000</v>
      </c>
      <c r="AG8">
        <f t="shared" si="2"/>
        <v>208.16913600000001</v>
      </c>
      <c r="AH8" s="13">
        <f t="shared" si="3"/>
        <v>17.347428000000001</v>
      </c>
      <c r="AI8" s="13"/>
    </row>
    <row r="9" spans="1:35" ht="25.5" customHeight="1">
      <c r="A9" s="977" t="s">
        <v>45</v>
      </c>
      <c r="B9" s="621" t="s">
        <v>416</v>
      </c>
      <c r="C9" s="200">
        <v>35</v>
      </c>
      <c r="D9" s="200">
        <v>35</v>
      </c>
      <c r="E9" s="200">
        <v>37</v>
      </c>
      <c r="F9" s="200">
        <v>38</v>
      </c>
      <c r="G9" s="200">
        <v>49</v>
      </c>
      <c r="H9" s="200">
        <v>58</v>
      </c>
      <c r="I9" s="200">
        <v>46</v>
      </c>
      <c r="J9" s="200"/>
      <c r="K9" s="200">
        <v>38</v>
      </c>
      <c r="L9" s="200">
        <v>43</v>
      </c>
      <c r="M9" s="200">
        <v>45</v>
      </c>
      <c r="N9" s="200">
        <v>49</v>
      </c>
      <c r="O9" s="200">
        <v>49</v>
      </c>
      <c r="P9" s="201">
        <v>1.3718159999999999</v>
      </c>
      <c r="R9" s="200">
        <v>35</v>
      </c>
      <c r="S9" s="200">
        <v>35</v>
      </c>
      <c r="T9" s="200">
        <v>37</v>
      </c>
      <c r="U9" s="200">
        <v>38</v>
      </c>
      <c r="V9" s="200">
        <v>49</v>
      </c>
      <c r="W9" s="200">
        <v>58</v>
      </c>
      <c r="X9" s="200">
        <v>46</v>
      </c>
      <c r="Y9" s="200"/>
      <c r="Z9" s="200">
        <v>38</v>
      </c>
      <c r="AA9" s="200">
        <v>43</v>
      </c>
      <c r="AB9" s="200">
        <v>45</v>
      </c>
      <c r="AC9" s="200">
        <v>49</v>
      </c>
      <c r="AD9" s="200">
        <v>49</v>
      </c>
      <c r="AE9">
        <f t="shared" si="0"/>
        <v>522</v>
      </c>
      <c r="AF9">
        <f t="shared" si="1"/>
        <v>16461792000</v>
      </c>
      <c r="AG9">
        <f t="shared" si="2"/>
        <v>16.461791999999999</v>
      </c>
      <c r="AH9" s="13">
        <f t="shared" si="3"/>
        <v>1.3718159999999999</v>
      </c>
    </row>
    <row r="10" spans="1:35" ht="25.5" customHeight="1">
      <c r="A10" s="974"/>
      <c r="B10" s="446" t="s">
        <v>461</v>
      </c>
      <c r="C10" s="94">
        <v>50</v>
      </c>
      <c r="D10" s="94">
        <v>50</v>
      </c>
      <c r="E10" s="94">
        <v>49</v>
      </c>
      <c r="F10" s="94">
        <v>41</v>
      </c>
      <c r="G10" s="94">
        <v>50</v>
      </c>
      <c r="H10" s="94">
        <v>53</v>
      </c>
      <c r="I10" s="94">
        <v>51</v>
      </c>
      <c r="J10" s="94"/>
      <c r="K10" s="94">
        <v>43</v>
      </c>
      <c r="L10" s="94">
        <v>46</v>
      </c>
      <c r="M10" s="94">
        <v>52</v>
      </c>
      <c r="N10" s="94">
        <v>46</v>
      </c>
      <c r="O10" s="94">
        <v>42</v>
      </c>
      <c r="P10" s="96">
        <v>1.505844</v>
      </c>
      <c r="R10" s="94">
        <v>50</v>
      </c>
      <c r="S10" s="94">
        <v>50</v>
      </c>
      <c r="T10" s="94">
        <v>49</v>
      </c>
      <c r="U10" s="94">
        <v>41</v>
      </c>
      <c r="V10" s="94">
        <v>50</v>
      </c>
      <c r="W10" s="94">
        <v>53</v>
      </c>
      <c r="X10" s="94">
        <v>51</v>
      </c>
      <c r="Y10" s="94"/>
      <c r="Z10" s="94">
        <v>43</v>
      </c>
      <c r="AA10" s="94">
        <v>46</v>
      </c>
      <c r="AB10" s="94">
        <v>52</v>
      </c>
      <c r="AC10" s="94">
        <v>46</v>
      </c>
      <c r="AD10" s="94">
        <v>42</v>
      </c>
      <c r="AE10" s="13">
        <f t="shared" si="0"/>
        <v>573</v>
      </c>
      <c r="AF10">
        <f t="shared" si="1"/>
        <v>18070128000</v>
      </c>
      <c r="AG10">
        <f t="shared" si="2"/>
        <v>18.070128</v>
      </c>
      <c r="AH10" s="13">
        <f t="shared" si="3"/>
        <v>1.505844</v>
      </c>
    </row>
    <row r="11" spans="1:35" ht="25.5" customHeight="1">
      <c r="A11" s="975" t="s">
        <v>268</v>
      </c>
      <c r="B11" s="621" t="s">
        <v>416</v>
      </c>
      <c r="C11" s="200">
        <v>3</v>
      </c>
      <c r="D11" s="200">
        <v>5</v>
      </c>
      <c r="E11" s="200">
        <v>3</v>
      </c>
      <c r="F11" s="200">
        <v>3</v>
      </c>
      <c r="G11" s="200">
        <v>2</v>
      </c>
      <c r="H11" s="200">
        <v>3</v>
      </c>
      <c r="I11" s="200">
        <v>16</v>
      </c>
      <c r="J11" s="200"/>
      <c r="K11" s="200">
        <v>3</v>
      </c>
      <c r="L11" s="200">
        <v>10</v>
      </c>
      <c r="M11" s="200">
        <v>10</v>
      </c>
      <c r="N11" s="200">
        <v>6</v>
      </c>
      <c r="O11" s="200">
        <v>10</v>
      </c>
      <c r="P11" s="201">
        <v>0.19</v>
      </c>
      <c r="R11" s="200">
        <v>3</v>
      </c>
      <c r="S11" s="200">
        <v>5</v>
      </c>
      <c r="T11" s="200">
        <v>3</v>
      </c>
      <c r="U11" s="200">
        <v>3</v>
      </c>
      <c r="V11" s="200">
        <v>2</v>
      </c>
      <c r="W11" s="200">
        <v>3</v>
      </c>
      <c r="X11" s="200">
        <v>16</v>
      </c>
      <c r="Y11" s="200"/>
      <c r="Z11" s="200">
        <v>3</v>
      </c>
      <c r="AA11" s="200">
        <v>10</v>
      </c>
      <c r="AB11" s="200">
        <v>10</v>
      </c>
      <c r="AC11" s="200">
        <v>6</v>
      </c>
      <c r="AD11" s="200">
        <v>10</v>
      </c>
      <c r="AE11">
        <f t="shared" si="0"/>
        <v>74</v>
      </c>
      <c r="AF11">
        <f t="shared" si="1"/>
        <v>2333664000</v>
      </c>
      <c r="AG11">
        <f t="shared" si="2"/>
        <v>2.3336640000000002</v>
      </c>
      <c r="AH11" s="13">
        <f t="shared" si="3"/>
        <v>0.19447200000000001</v>
      </c>
    </row>
    <row r="12" spans="1:35" ht="25.5" customHeight="1">
      <c r="A12" s="976"/>
      <c r="B12" s="446" t="s">
        <v>461</v>
      </c>
      <c r="C12" s="94">
        <v>10</v>
      </c>
      <c r="D12" s="94">
        <v>5</v>
      </c>
      <c r="E12" s="94">
        <v>5</v>
      </c>
      <c r="F12" s="94">
        <v>5</v>
      </c>
      <c r="G12" s="94">
        <v>10</v>
      </c>
      <c r="H12" s="94">
        <v>10</v>
      </c>
      <c r="I12" s="94">
        <v>10</v>
      </c>
      <c r="J12" s="94"/>
      <c r="K12" s="94">
        <v>15</v>
      </c>
      <c r="L12" s="94">
        <v>12</v>
      </c>
      <c r="M12" s="94">
        <v>8</v>
      </c>
      <c r="N12" s="94">
        <v>10</v>
      </c>
      <c r="O12" s="94">
        <v>10</v>
      </c>
      <c r="P12" s="96">
        <v>0.28908</v>
      </c>
      <c r="R12" s="94">
        <v>10</v>
      </c>
      <c r="S12" s="94">
        <v>5</v>
      </c>
      <c r="T12" s="94">
        <v>5</v>
      </c>
      <c r="U12" s="94">
        <v>5</v>
      </c>
      <c r="V12" s="94">
        <v>10</v>
      </c>
      <c r="W12" s="94">
        <v>10</v>
      </c>
      <c r="X12" s="94">
        <v>10</v>
      </c>
      <c r="Y12" s="94"/>
      <c r="Z12" s="94">
        <v>15</v>
      </c>
      <c r="AA12" s="94">
        <v>12</v>
      </c>
      <c r="AB12" s="94">
        <v>8</v>
      </c>
      <c r="AC12" s="94">
        <v>10</v>
      </c>
      <c r="AD12" s="94">
        <v>10</v>
      </c>
      <c r="AE12" s="13">
        <f t="shared" si="0"/>
        <v>110</v>
      </c>
      <c r="AF12">
        <f t="shared" si="1"/>
        <v>3468960000</v>
      </c>
      <c r="AG12">
        <f t="shared" si="2"/>
        <v>3.46896</v>
      </c>
      <c r="AH12" s="13">
        <f t="shared" si="3"/>
        <v>0.28908</v>
      </c>
    </row>
    <row r="13" spans="1:35" ht="25.5" customHeight="1">
      <c r="A13" s="978" t="s">
        <v>329</v>
      </c>
      <c r="B13" s="621" t="s">
        <v>416</v>
      </c>
      <c r="C13" s="200">
        <v>0</v>
      </c>
      <c r="D13" s="200">
        <v>5</v>
      </c>
      <c r="E13" s="200">
        <v>5</v>
      </c>
      <c r="F13" s="200">
        <v>20</v>
      </c>
      <c r="G13" s="200">
        <v>20</v>
      </c>
      <c r="H13" s="200">
        <v>75</v>
      </c>
      <c r="I13" s="200">
        <v>90</v>
      </c>
      <c r="J13" s="200"/>
      <c r="K13" s="200">
        <v>95</v>
      </c>
      <c r="L13" s="200">
        <v>119</v>
      </c>
      <c r="M13" s="200">
        <v>126</v>
      </c>
      <c r="N13" s="200">
        <v>130</v>
      </c>
      <c r="O13" s="200">
        <v>76</v>
      </c>
      <c r="P13" s="201">
        <v>2</v>
      </c>
      <c r="R13" s="200">
        <v>0</v>
      </c>
      <c r="S13" s="200">
        <v>5</v>
      </c>
      <c r="T13" s="200">
        <v>5</v>
      </c>
      <c r="U13" s="200">
        <v>20</v>
      </c>
      <c r="V13" s="200">
        <v>20</v>
      </c>
      <c r="W13" s="200">
        <v>75</v>
      </c>
      <c r="X13" s="200">
        <v>90</v>
      </c>
      <c r="Y13" s="200"/>
      <c r="Z13" s="200">
        <v>95</v>
      </c>
      <c r="AA13" s="200">
        <v>119</v>
      </c>
      <c r="AB13" s="200">
        <v>126</v>
      </c>
      <c r="AC13" s="200">
        <v>130</v>
      </c>
      <c r="AD13" s="200">
        <v>76</v>
      </c>
      <c r="AE13">
        <f t="shared" si="0"/>
        <v>761</v>
      </c>
      <c r="AF13">
        <f t="shared" si="1"/>
        <v>23998896000</v>
      </c>
      <c r="AG13">
        <f t="shared" si="2"/>
        <v>23.998895999999998</v>
      </c>
      <c r="AH13" s="13">
        <f t="shared" si="3"/>
        <v>1.9999079999999998</v>
      </c>
    </row>
    <row r="14" spans="1:35" ht="25.5" customHeight="1" thickBot="1">
      <c r="A14" s="980"/>
      <c r="B14" s="447" t="s">
        <v>461</v>
      </c>
      <c r="C14" s="95">
        <v>92</v>
      </c>
      <c r="D14" s="95">
        <v>61</v>
      </c>
      <c r="E14" s="95">
        <v>38</v>
      </c>
      <c r="F14" s="95">
        <v>52</v>
      </c>
      <c r="G14" s="95">
        <v>57</v>
      </c>
      <c r="H14" s="95">
        <v>78</v>
      </c>
      <c r="I14" s="95">
        <v>45</v>
      </c>
      <c r="J14" s="95"/>
      <c r="K14" s="95">
        <v>55</v>
      </c>
      <c r="L14" s="95">
        <v>84</v>
      </c>
      <c r="M14" s="95">
        <v>79</v>
      </c>
      <c r="N14" s="95">
        <v>71</v>
      </c>
      <c r="O14" s="95">
        <v>52</v>
      </c>
      <c r="P14" s="202">
        <v>2.0077919999999998</v>
      </c>
      <c r="R14" s="95">
        <v>92</v>
      </c>
      <c r="S14" s="95">
        <v>61</v>
      </c>
      <c r="T14" s="95">
        <v>38</v>
      </c>
      <c r="U14" s="95">
        <v>52</v>
      </c>
      <c r="V14" s="95">
        <v>57</v>
      </c>
      <c r="W14" s="95">
        <v>78</v>
      </c>
      <c r="X14" s="95">
        <v>45</v>
      </c>
      <c r="Y14" s="95"/>
      <c r="Z14" s="95">
        <v>55</v>
      </c>
      <c r="AA14" s="95">
        <v>84</v>
      </c>
      <c r="AB14" s="95">
        <v>79</v>
      </c>
      <c r="AC14" s="95">
        <v>71</v>
      </c>
      <c r="AD14" s="95">
        <v>52</v>
      </c>
      <c r="AE14" s="13">
        <f t="shared" si="0"/>
        <v>764</v>
      </c>
      <c r="AF14">
        <f t="shared" si="1"/>
        <v>24093504000</v>
      </c>
      <c r="AG14">
        <f t="shared" si="2"/>
        <v>24.093503999999999</v>
      </c>
      <c r="AH14" s="13">
        <f t="shared" si="3"/>
        <v>2.0077919999999998</v>
      </c>
    </row>
    <row r="15" spans="1:35" ht="9.75" customHeight="1" thickTop="1">
      <c r="A15" s="49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5" ht="21" customHeight="1">
      <c r="A16" s="953" t="s">
        <v>7</v>
      </c>
      <c r="B16" s="953"/>
      <c r="C16" s="953"/>
      <c r="D16" s="953"/>
      <c r="E16" s="953"/>
      <c r="F16" s="953"/>
      <c r="G16" s="953"/>
      <c r="H16" s="953"/>
      <c r="I16" s="953"/>
      <c r="J16" s="953"/>
      <c r="K16" s="953"/>
      <c r="L16" s="15"/>
      <c r="M16" s="15"/>
      <c r="N16" s="15"/>
      <c r="O16" s="15"/>
      <c r="P16" s="17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</row>
    <row r="17" spans="1:34" ht="20.25" customHeight="1">
      <c r="A17" s="983"/>
      <c r="B17" s="983"/>
      <c r="C17" s="983"/>
      <c r="D17" s="983"/>
      <c r="E17" s="983"/>
      <c r="F17" s="983"/>
      <c r="G17" s="983"/>
      <c r="H17" s="983"/>
      <c r="I17" s="983"/>
      <c r="J17" s="281"/>
      <c r="K17" s="15"/>
      <c r="L17" s="15"/>
      <c r="M17" s="15"/>
      <c r="N17" s="15"/>
      <c r="O17" s="15"/>
      <c r="P17" s="17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>
        <f>AE17/1000000000</f>
        <v>0</v>
      </c>
      <c r="AH17">
        <f>AG17/12</f>
        <v>0</v>
      </c>
    </row>
    <row r="18" spans="1:34" ht="24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198"/>
    </row>
    <row r="19" spans="1:34" ht="21.75" customHeight="1">
      <c r="L19" s="15"/>
      <c r="M19" s="15"/>
      <c r="N19" s="15"/>
      <c r="O19" s="15"/>
      <c r="P19" s="15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>
        <f>AE19/1000000000</f>
        <v>0</v>
      </c>
      <c r="AH19">
        <f>AG19/12</f>
        <v>0</v>
      </c>
    </row>
    <row r="20" spans="1:34" ht="15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</row>
    <row r="21" spans="1:34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8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>
        <f>AE21/1000000000</f>
        <v>0</v>
      </c>
      <c r="AH21">
        <f>AG21/12</f>
        <v>0</v>
      </c>
    </row>
    <row r="22" spans="1:34" ht="22.5" customHeight="1">
      <c r="A22" s="981" t="s">
        <v>287</v>
      </c>
      <c r="B22" s="981"/>
      <c r="C22" s="981"/>
      <c r="D22" s="981"/>
      <c r="E22" s="159"/>
      <c r="F22" s="159"/>
      <c r="G22" s="982"/>
      <c r="H22" s="982"/>
      <c r="I22" s="982"/>
      <c r="J22" s="280"/>
      <c r="K22" s="159"/>
      <c r="L22" s="159"/>
      <c r="M22" s="159"/>
      <c r="N22" s="159"/>
      <c r="O22" s="159"/>
      <c r="P22" s="63">
        <v>26</v>
      </c>
      <c r="Q22" s="19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488"/>
      <c r="AE22" s="9"/>
      <c r="AF22" s="851"/>
      <c r="AH22" s="12"/>
    </row>
    <row r="23" spans="1:34"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>
        <f>AE23/1000000000</f>
        <v>0</v>
      </c>
      <c r="AH23">
        <f>AG23/12</f>
        <v>0</v>
      </c>
    </row>
    <row r="24" spans="1:34" ht="15" thickBot="1"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</row>
    <row r="25" spans="1:34" ht="15" thickTop="1">
      <c r="G25" s="13">
        <f>P6+P8+P10+P12+P14</f>
        <v>42.481620000000007</v>
      </c>
      <c r="K25" s="13">
        <f>21.33+17.35+1.51+0.29+2.01</f>
        <v>42.489999999999995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>
        <f>AE25/1000000000</f>
        <v>0</v>
      </c>
      <c r="AH25">
        <f>AG25/12</f>
        <v>0</v>
      </c>
    </row>
    <row r="27" spans="1:34">
      <c r="B27" s="13"/>
    </row>
    <row r="32" spans="1:34">
      <c r="A32" s="973" t="s">
        <v>42</v>
      </c>
      <c r="B32" s="253" t="s">
        <v>289</v>
      </c>
      <c r="C32" s="200">
        <v>634</v>
      </c>
      <c r="D32" s="200">
        <v>597</v>
      </c>
      <c r="E32" s="200">
        <v>558</v>
      </c>
      <c r="F32" s="200">
        <v>637</v>
      </c>
      <c r="G32" s="200">
        <v>772</v>
      </c>
      <c r="H32" s="200">
        <v>668</v>
      </c>
      <c r="I32" s="200">
        <v>652</v>
      </c>
      <c r="J32" s="200"/>
      <c r="K32" s="200">
        <v>682</v>
      </c>
      <c r="L32" s="200">
        <v>746</v>
      </c>
      <c r="M32" s="200">
        <v>723</v>
      </c>
      <c r="N32" s="200">
        <v>618</v>
      </c>
      <c r="O32" s="200">
        <v>694</v>
      </c>
      <c r="P32" s="201"/>
    </row>
    <row r="33" spans="1:18">
      <c r="A33" s="973"/>
      <c r="B33" s="69"/>
      <c r="C33" s="166">
        <f>C32*60*60*24*365</f>
        <v>19993824000</v>
      </c>
      <c r="D33" s="166">
        <f t="shared" ref="D33:O33" si="4">D32*60*60*24*365</f>
        <v>18826992000</v>
      </c>
      <c r="E33" s="166">
        <f t="shared" si="4"/>
        <v>17597088000</v>
      </c>
      <c r="F33" s="166">
        <f t="shared" si="4"/>
        <v>20088432000</v>
      </c>
      <c r="G33" s="166">
        <f t="shared" si="4"/>
        <v>24345792000</v>
      </c>
      <c r="H33" s="166">
        <f t="shared" si="4"/>
        <v>21066048000</v>
      </c>
      <c r="I33" s="166">
        <f t="shared" si="4"/>
        <v>20561472000</v>
      </c>
      <c r="J33" s="166">
        <f t="shared" si="4"/>
        <v>0</v>
      </c>
      <c r="K33" s="166">
        <f t="shared" si="4"/>
        <v>21507552000</v>
      </c>
      <c r="L33" s="166">
        <f t="shared" si="4"/>
        <v>23525856000</v>
      </c>
      <c r="M33" s="166">
        <f t="shared" si="4"/>
        <v>22800528000</v>
      </c>
      <c r="N33" s="166">
        <f t="shared" si="4"/>
        <v>19489248000</v>
      </c>
      <c r="O33" s="166">
        <f t="shared" si="4"/>
        <v>21885984000</v>
      </c>
      <c r="P33" s="197">
        <f>SUM(C33:O33)</f>
        <v>251688816000</v>
      </c>
      <c r="Q33" s="198">
        <f>P33/1000000000</f>
        <v>251.688816</v>
      </c>
      <c r="R33" s="13">
        <f>Q33/12</f>
        <v>20.974067999999999</v>
      </c>
    </row>
    <row r="34" spans="1:18">
      <c r="A34" s="974"/>
      <c r="B34" s="20" t="s">
        <v>300</v>
      </c>
      <c r="C34" s="94">
        <v>721</v>
      </c>
      <c r="D34" s="94">
        <v>631</v>
      </c>
      <c r="E34" s="94">
        <v>621</v>
      </c>
      <c r="F34" s="94">
        <v>667</v>
      </c>
      <c r="G34" s="94">
        <v>707</v>
      </c>
      <c r="H34" s="94">
        <v>660</v>
      </c>
      <c r="I34" s="94">
        <v>671</v>
      </c>
      <c r="J34" s="94"/>
      <c r="K34" s="94">
        <v>682</v>
      </c>
      <c r="L34" s="94">
        <v>643</v>
      </c>
      <c r="M34" s="94">
        <v>730</v>
      </c>
      <c r="N34" s="94">
        <v>621</v>
      </c>
      <c r="O34" s="94">
        <v>693</v>
      </c>
      <c r="P34" s="96"/>
      <c r="R34" s="13"/>
    </row>
    <row r="35" spans="1:18">
      <c r="A35" s="282"/>
      <c r="B35" s="69"/>
      <c r="C35" s="166">
        <f t="shared" ref="C35:O37" si="5">C34*60*60*24*365</f>
        <v>22737456000</v>
      </c>
      <c r="D35" s="166">
        <f t="shared" si="5"/>
        <v>19899216000</v>
      </c>
      <c r="E35" s="166">
        <f t="shared" si="5"/>
        <v>19583856000</v>
      </c>
      <c r="F35" s="166">
        <f t="shared" si="5"/>
        <v>21034512000</v>
      </c>
      <c r="G35" s="166">
        <f t="shared" si="5"/>
        <v>22295952000</v>
      </c>
      <c r="H35" s="166">
        <f t="shared" si="5"/>
        <v>20813760000</v>
      </c>
      <c r="I35" s="166">
        <f t="shared" si="5"/>
        <v>21160656000</v>
      </c>
      <c r="J35" s="166">
        <f t="shared" si="5"/>
        <v>0</v>
      </c>
      <c r="K35" s="166">
        <f t="shared" si="5"/>
        <v>21507552000</v>
      </c>
      <c r="L35" s="166">
        <f t="shared" si="5"/>
        <v>20277648000</v>
      </c>
      <c r="M35" s="166">
        <f t="shared" si="5"/>
        <v>23021280000</v>
      </c>
      <c r="N35" s="166">
        <f t="shared" si="5"/>
        <v>19583856000</v>
      </c>
      <c r="O35" s="166">
        <f t="shared" si="5"/>
        <v>21854448000</v>
      </c>
      <c r="P35" s="197">
        <f>SUM(C35:O35)</f>
        <v>253770192000</v>
      </c>
      <c r="Q35" s="198">
        <f>P35/1000000000</f>
        <v>253.77019200000001</v>
      </c>
      <c r="R35" s="292">
        <f>Q35/12</f>
        <v>21.147516</v>
      </c>
    </row>
    <row r="36" spans="1:18">
      <c r="A36" s="975" t="s">
        <v>43</v>
      </c>
      <c r="B36" s="253" t="s">
        <v>289</v>
      </c>
      <c r="C36" s="200">
        <v>366</v>
      </c>
      <c r="D36" s="200">
        <v>360</v>
      </c>
      <c r="E36" s="200">
        <v>338</v>
      </c>
      <c r="F36" s="200">
        <v>357</v>
      </c>
      <c r="G36" s="200">
        <v>515</v>
      </c>
      <c r="H36" s="200">
        <v>460</v>
      </c>
      <c r="I36" s="200">
        <v>622</v>
      </c>
      <c r="J36" s="200"/>
      <c r="K36" s="200">
        <v>789</v>
      </c>
      <c r="L36" s="200">
        <v>761</v>
      </c>
      <c r="M36" s="200">
        <v>694</v>
      </c>
      <c r="N36" s="200">
        <v>630</v>
      </c>
      <c r="O36" s="198">
        <v>673</v>
      </c>
      <c r="P36" s="201"/>
      <c r="R36" s="13"/>
    </row>
    <row r="37" spans="1:18">
      <c r="A37" s="973"/>
      <c r="B37" s="69"/>
      <c r="C37" s="166">
        <f t="shared" si="5"/>
        <v>11542176000</v>
      </c>
      <c r="D37" s="166">
        <f t="shared" ref="D37" si="6">D36*60*60*24*365</f>
        <v>11352960000</v>
      </c>
      <c r="E37" s="166">
        <f t="shared" ref="E37" si="7">E36*60*60*24*365</f>
        <v>10659168000</v>
      </c>
      <c r="F37" s="166">
        <f t="shared" ref="F37" si="8">F36*60*60*24*365</f>
        <v>11258352000</v>
      </c>
      <c r="G37" s="166">
        <f t="shared" ref="G37" si="9">G36*60*60*24*365</f>
        <v>16241040000</v>
      </c>
      <c r="H37" s="166">
        <f t="shared" ref="H37" si="10">H36*60*60*24*365</f>
        <v>14506560000</v>
      </c>
      <c r="I37" s="166">
        <f t="shared" ref="I37" si="11">I36*60*60*24*365</f>
        <v>19615392000</v>
      </c>
      <c r="J37" s="166">
        <f t="shared" ref="J37" si="12">J36*60*60*24*365</f>
        <v>0</v>
      </c>
      <c r="K37" s="166">
        <f t="shared" ref="K37" si="13">K36*60*60*24*365</f>
        <v>24881904000</v>
      </c>
      <c r="L37" s="166">
        <f t="shared" ref="L37" si="14">L36*60*60*24*365</f>
        <v>23998896000</v>
      </c>
      <c r="M37" s="166">
        <f t="shared" ref="M37" si="15">M36*60*60*24*365</f>
        <v>21885984000</v>
      </c>
      <c r="N37" s="166">
        <f t="shared" ref="N37" si="16">N36*60*60*24*365</f>
        <v>19867680000</v>
      </c>
      <c r="O37" s="166">
        <f t="shared" ref="O37" si="17">O36*60*60*24*365</f>
        <v>21223728000</v>
      </c>
      <c r="P37" s="197">
        <f>SUM(C37:O37)</f>
        <v>207033840000</v>
      </c>
      <c r="Q37" s="198">
        <f>P37/1000000000</f>
        <v>207.03384</v>
      </c>
      <c r="R37" s="13">
        <f>Q37/12</f>
        <v>17.25282</v>
      </c>
    </row>
    <row r="38" spans="1:18">
      <c r="A38" s="976"/>
      <c r="B38" s="20" t="s">
        <v>300</v>
      </c>
      <c r="C38" s="94">
        <v>486</v>
      </c>
      <c r="D38" s="94">
        <v>403</v>
      </c>
      <c r="E38" s="94">
        <v>407</v>
      </c>
      <c r="F38" s="94">
        <v>387</v>
      </c>
      <c r="G38" s="94">
        <v>365</v>
      </c>
      <c r="H38" s="94">
        <v>289</v>
      </c>
      <c r="I38" s="94">
        <v>310</v>
      </c>
      <c r="J38" s="94"/>
      <c r="K38" s="94">
        <v>397</v>
      </c>
      <c r="L38" s="94">
        <v>388</v>
      </c>
      <c r="M38" s="94">
        <v>389</v>
      </c>
      <c r="N38" s="94">
        <v>326</v>
      </c>
      <c r="O38" s="94">
        <v>570</v>
      </c>
      <c r="P38" s="96"/>
      <c r="R38" s="13"/>
    </row>
    <row r="39" spans="1:18">
      <c r="A39" s="282"/>
      <c r="B39" s="69"/>
      <c r="C39" s="166">
        <f t="shared" ref="C39" si="18">C38*60*60*24*365</f>
        <v>15326496000</v>
      </c>
      <c r="D39" s="166">
        <f t="shared" ref="D39" si="19">D38*60*60*24*365</f>
        <v>12709008000</v>
      </c>
      <c r="E39" s="166">
        <f t="shared" ref="E39" si="20">E38*60*60*24*365</f>
        <v>12835152000</v>
      </c>
      <c r="F39" s="166">
        <f t="shared" ref="F39" si="21">F38*60*60*24*365</f>
        <v>12204432000</v>
      </c>
      <c r="G39" s="166">
        <f t="shared" ref="G39" si="22">G38*60*60*24*365</f>
        <v>11510640000</v>
      </c>
      <c r="H39" s="166">
        <f t="shared" ref="H39" si="23">H38*60*60*24*365</f>
        <v>9113904000</v>
      </c>
      <c r="I39" s="166">
        <f t="shared" ref="I39" si="24">I38*60*60*24*365</f>
        <v>9776160000</v>
      </c>
      <c r="J39" s="166">
        <f t="shared" ref="J39" si="25">J38*60*60*24*365</f>
        <v>0</v>
      </c>
      <c r="K39" s="166">
        <f t="shared" ref="K39" si="26">K38*60*60*24*365</f>
        <v>12519792000</v>
      </c>
      <c r="L39" s="166">
        <f t="shared" ref="L39" si="27">L38*60*60*24*365</f>
        <v>12235968000</v>
      </c>
      <c r="M39" s="166">
        <f t="shared" ref="M39" si="28">M38*60*60*24*365</f>
        <v>12267504000</v>
      </c>
      <c r="N39" s="166">
        <f t="shared" ref="N39" si="29">N38*60*60*24*365</f>
        <v>10280736000</v>
      </c>
      <c r="O39" s="166">
        <f t="shared" ref="O39" si="30">O38*60*60*24*365</f>
        <v>17975520000</v>
      </c>
      <c r="P39" s="197">
        <f>SUM(C39:O39)</f>
        <v>148755312000</v>
      </c>
      <c r="Q39" s="198">
        <f>P39/1000000000</f>
        <v>148.755312</v>
      </c>
      <c r="R39" s="13">
        <f>Q39/12</f>
        <v>12.396276</v>
      </c>
    </row>
    <row r="40" spans="1:18">
      <c r="A40" s="977" t="s">
        <v>45</v>
      </c>
      <c r="B40" s="253" t="s">
        <v>289</v>
      </c>
      <c r="C40" s="200">
        <v>65</v>
      </c>
      <c r="D40" s="200">
        <v>62</v>
      </c>
      <c r="E40" s="200">
        <v>50</v>
      </c>
      <c r="F40" s="200">
        <v>40</v>
      </c>
      <c r="G40" s="200">
        <v>40</v>
      </c>
      <c r="H40" s="200">
        <v>52</v>
      </c>
      <c r="I40" s="200">
        <v>36</v>
      </c>
      <c r="J40" s="200"/>
      <c r="K40" s="200">
        <v>60</v>
      </c>
      <c r="L40" s="200">
        <v>70</v>
      </c>
      <c r="M40" s="200">
        <v>70</v>
      </c>
      <c r="N40" s="200">
        <v>52</v>
      </c>
      <c r="O40" s="200">
        <v>54</v>
      </c>
      <c r="P40" s="201"/>
      <c r="R40" s="13"/>
    </row>
    <row r="41" spans="1:18">
      <c r="A41" s="973"/>
      <c r="B41" s="69"/>
      <c r="C41" s="166">
        <f t="shared" ref="C41" si="31">C40*60*60*24*365</f>
        <v>2049840000</v>
      </c>
      <c r="D41" s="166">
        <f t="shared" ref="D41" si="32">D40*60*60*24*365</f>
        <v>1955232000</v>
      </c>
      <c r="E41" s="166">
        <f t="shared" ref="E41" si="33">E40*60*60*24*365</f>
        <v>1576800000</v>
      </c>
      <c r="F41" s="166">
        <f t="shared" ref="F41" si="34">F40*60*60*24*365</f>
        <v>1261440000</v>
      </c>
      <c r="G41" s="166">
        <f t="shared" ref="G41" si="35">G40*60*60*24*365</f>
        <v>1261440000</v>
      </c>
      <c r="H41" s="166">
        <f t="shared" ref="H41" si="36">H40*60*60*24*365</f>
        <v>1639872000</v>
      </c>
      <c r="I41" s="166">
        <f t="shared" ref="I41" si="37">I40*60*60*24*365</f>
        <v>1135296000</v>
      </c>
      <c r="J41" s="166">
        <f t="shared" ref="J41" si="38">J40*60*60*24*365</f>
        <v>0</v>
      </c>
      <c r="K41" s="166">
        <f t="shared" ref="K41" si="39">K40*60*60*24*365</f>
        <v>1892160000</v>
      </c>
      <c r="L41" s="166">
        <f t="shared" ref="L41" si="40">L40*60*60*24*365</f>
        <v>2207520000</v>
      </c>
      <c r="M41" s="166">
        <f t="shared" ref="M41" si="41">M40*60*60*24*365</f>
        <v>2207520000</v>
      </c>
      <c r="N41" s="166">
        <f t="shared" ref="N41" si="42">N40*60*60*24*365</f>
        <v>1639872000</v>
      </c>
      <c r="O41" s="166">
        <f t="shared" ref="O41" si="43">O40*60*60*24*365</f>
        <v>1702944000</v>
      </c>
      <c r="P41" s="197">
        <f>SUM(C41:O41)</f>
        <v>20529936000</v>
      </c>
      <c r="Q41" s="198">
        <f>P41/1000000000</f>
        <v>20.529935999999999</v>
      </c>
      <c r="R41" s="13">
        <f>Q41/12</f>
        <v>1.710828</v>
      </c>
    </row>
    <row r="42" spans="1:18">
      <c r="A42" s="974"/>
      <c r="B42" s="20" t="s">
        <v>300</v>
      </c>
      <c r="C42" s="94">
        <v>49</v>
      </c>
      <c r="D42" s="94">
        <v>59</v>
      </c>
      <c r="E42" s="94">
        <v>66</v>
      </c>
      <c r="F42" s="94">
        <v>63</v>
      </c>
      <c r="G42" s="94">
        <v>50</v>
      </c>
      <c r="H42" s="94">
        <v>39</v>
      </c>
      <c r="I42" s="94">
        <v>40</v>
      </c>
      <c r="J42" s="94"/>
      <c r="K42" s="94">
        <v>40</v>
      </c>
      <c r="L42" s="94">
        <v>37</v>
      </c>
      <c r="M42" s="94">
        <v>35</v>
      </c>
      <c r="N42" s="94">
        <v>35</v>
      </c>
      <c r="O42" s="94">
        <v>54</v>
      </c>
      <c r="P42" s="96"/>
      <c r="R42" s="13"/>
    </row>
    <row r="43" spans="1:18">
      <c r="A43" s="282"/>
      <c r="B43" s="69"/>
      <c r="C43" s="166">
        <f t="shared" ref="C43" si="44">C42*60*60*24*365</f>
        <v>1545264000</v>
      </c>
      <c r="D43" s="166">
        <f t="shared" ref="D43" si="45">D42*60*60*24*365</f>
        <v>1860624000</v>
      </c>
      <c r="E43" s="166">
        <f t="shared" ref="E43" si="46">E42*60*60*24*365</f>
        <v>2081376000</v>
      </c>
      <c r="F43" s="166">
        <f t="shared" ref="F43" si="47">F42*60*60*24*365</f>
        <v>1986768000</v>
      </c>
      <c r="G43" s="166">
        <f t="shared" ref="G43" si="48">G42*60*60*24*365</f>
        <v>1576800000</v>
      </c>
      <c r="H43" s="166">
        <f t="shared" ref="H43" si="49">H42*60*60*24*365</f>
        <v>1229904000</v>
      </c>
      <c r="I43" s="166">
        <f t="shared" ref="I43" si="50">I42*60*60*24*365</f>
        <v>1261440000</v>
      </c>
      <c r="J43" s="166">
        <f t="shared" ref="J43" si="51">J42*60*60*24*365</f>
        <v>0</v>
      </c>
      <c r="K43" s="166">
        <f t="shared" ref="K43" si="52">K42*60*60*24*365</f>
        <v>1261440000</v>
      </c>
      <c r="L43" s="166">
        <f t="shared" ref="L43" si="53">L42*60*60*24*365</f>
        <v>1166832000</v>
      </c>
      <c r="M43" s="166">
        <f t="shared" ref="M43" si="54">M42*60*60*24*365</f>
        <v>1103760000</v>
      </c>
      <c r="N43" s="166">
        <f t="shared" ref="N43" si="55">N42*60*60*24*365</f>
        <v>1103760000</v>
      </c>
      <c r="O43" s="166">
        <f t="shared" ref="O43" si="56">O42*60*60*24*365</f>
        <v>1702944000</v>
      </c>
      <c r="P43" s="197">
        <f>SUM(C43:O43)</f>
        <v>17880912000</v>
      </c>
      <c r="Q43" s="198">
        <f>P43/1000000000</f>
        <v>17.880911999999999</v>
      </c>
      <c r="R43" s="13">
        <f>Q43/12</f>
        <v>1.490076</v>
      </c>
    </row>
    <row r="44" spans="1:18">
      <c r="A44" s="975" t="s">
        <v>268</v>
      </c>
      <c r="B44" s="253" t="s">
        <v>289</v>
      </c>
      <c r="C44" s="200">
        <v>15</v>
      </c>
      <c r="D44" s="200">
        <v>15</v>
      </c>
      <c r="E44" s="200">
        <v>25</v>
      </c>
      <c r="F44" s="200">
        <v>57</v>
      </c>
      <c r="G44" s="200">
        <v>41</v>
      </c>
      <c r="H44" s="200">
        <v>26</v>
      </c>
      <c r="I44" s="200">
        <v>20</v>
      </c>
      <c r="J44" s="200"/>
      <c r="K44" s="200">
        <v>20</v>
      </c>
      <c r="L44" s="200">
        <v>20</v>
      </c>
      <c r="M44" s="200">
        <v>20</v>
      </c>
      <c r="N44" s="200">
        <v>15</v>
      </c>
      <c r="O44" s="200">
        <v>20</v>
      </c>
      <c r="P44" s="201"/>
      <c r="R44" s="13"/>
    </row>
    <row r="45" spans="1:18">
      <c r="A45" s="973"/>
      <c r="B45" s="69"/>
      <c r="C45" s="166">
        <f t="shared" ref="C45" si="57">C44*60*60*24*365</f>
        <v>473040000</v>
      </c>
      <c r="D45" s="166">
        <f t="shared" ref="D45" si="58">D44*60*60*24*365</f>
        <v>473040000</v>
      </c>
      <c r="E45" s="166">
        <f t="shared" ref="E45" si="59">E44*60*60*24*365</f>
        <v>788400000</v>
      </c>
      <c r="F45" s="166">
        <f t="shared" ref="F45" si="60">F44*60*60*24*365</f>
        <v>1797552000</v>
      </c>
      <c r="G45" s="166">
        <f t="shared" ref="G45" si="61">G44*60*60*24*365</f>
        <v>1292976000</v>
      </c>
      <c r="H45" s="166">
        <f t="shared" ref="H45" si="62">H44*60*60*24*365</f>
        <v>819936000</v>
      </c>
      <c r="I45" s="166">
        <f t="shared" ref="I45" si="63">I44*60*60*24*365</f>
        <v>630720000</v>
      </c>
      <c r="J45" s="166">
        <f t="shared" ref="J45" si="64">J44*60*60*24*365</f>
        <v>0</v>
      </c>
      <c r="K45" s="166">
        <f t="shared" ref="K45" si="65">K44*60*60*24*365</f>
        <v>630720000</v>
      </c>
      <c r="L45" s="166">
        <f t="shared" ref="L45" si="66">L44*60*60*24*365</f>
        <v>630720000</v>
      </c>
      <c r="M45" s="166">
        <f t="shared" ref="M45" si="67">M44*60*60*24*365</f>
        <v>630720000</v>
      </c>
      <c r="N45" s="166">
        <f t="shared" ref="N45" si="68">N44*60*60*24*365</f>
        <v>473040000</v>
      </c>
      <c r="O45" s="166">
        <f t="shared" ref="O45" si="69">O44*60*60*24*365</f>
        <v>630720000</v>
      </c>
      <c r="P45" s="197">
        <f>SUM(C45:O45)</f>
        <v>9271584000</v>
      </c>
      <c r="Q45" s="198">
        <f>P45/1000000000</f>
        <v>9.2715840000000007</v>
      </c>
      <c r="R45" s="13">
        <f>Q45/12</f>
        <v>0.7726320000000001</v>
      </c>
    </row>
    <row r="46" spans="1:18">
      <c r="A46" s="976"/>
      <c r="B46" s="20" t="s">
        <v>300</v>
      </c>
      <c r="C46" s="94">
        <v>84</v>
      </c>
      <c r="D46" s="94">
        <v>21</v>
      </c>
      <c r="E46" s="94">
        <v>3</v>
      </c>
      <c r="F46" s="94">
        <v>8</v>
      </c>
      <c r="G46" s="94">
        <v>13</v>
      </c>
      <c r="H46" s="94">
        <v>13</v>
      </c>
      <c r="I46" s="94">
        <v>8</v>
      </c>
      <c r="J46" s="94"/>
      <c r="K46" s="94">
        <v>5</v>
      </c>
      <c r="L46" s="94">
        <v>5</v>
      </c>
      <c r="M46" s="94">
        <v>15</v>
      </c>
      <c r="N46" s="94">
        <v>33</v>
      </c>
      <c r="O46" s="94">
        <v>20</v>
      </c>
      <c r="P46" s="96"/>
      <c r="R46" s="13"/>
    </row>
    <row r="47" spans="1:18">
      <c r="A47" s="282"/>
      <c r="B47" s="69"/>
      <c r="C47" s="166">
        <f t="shared" ref="C47" si="70">C46*60*60*24*365</f>
        <v>2649024000</v>
      </c>
      <c r="D47" s="166">
        <f t="shared" ref="D47" si="71">D46*60*60*24*365</f>
        <v>662256000</v>
      </c>
      <c r="E47" s="166">
        <f t="shared" ref="E47" si="72">E46*60*60*24*365</f>
        <v>94608000</v>
      </c>
      <c r="F47" s="166">
        <f t="shared" ref="F47" si="73">F46*60*60*24*365</f>
        <v>252288000</v>
      </c>
      <c r="G47" s="166">
        <f t="shared" ref="G47" si="74">G46*60*60*24*365</f>
        <v>409968000</v>
      </c>
      <c r="H47" s="166">
        <f t="shared" ref="H47" si="75">H46*60*60*24*365</f>
        <v>409968000</v>
      </c>
      <c r="I47" s="166">
        <f t="shared" ref="I47" si="76">I46*60*60*24*365</f>
        <v>252288000</v>
      </c>
      <c r="J47" s="166">
        <f t="shared" ref="J47" si="77">J46*60*60*24*365</f>
        <v>0</v>
      </c>
      <c r="K47" s="166">
        <f t="shared" ref="K47" si="78">K46*60*60*24*365</f>
        <v>157680000</v>
      </c>
      <c r="L47" s="166">
        <f t="shared" ref="L47" si="79">L46*60*60*24*365</f>
        <v>157680000</v>
      </c>
      <c r="M47" s="166">
        <f t="shared" ref="M47" si="80">M46*60*60*24*365</f>
        <v>473040000</v>
      </c>
      <c r="N47" s="166">
        <f t="shared" ref="N47" si="81">N46*60*60*24*365</f>
        <v>1040688000</v>
      </c>
      <c r="O47" s="166">
        <f t="shared" ref="O47" si="82">O46*60*60*24*365</f>
        <v>630720000</v>
      </c>
      <c r="P47" s="197">
        <f>SUM(C47:O47)</f>
        <v>7190208000</v>
      </c>
      <c r="Q47" s="198">
        <f>P47/1000000000</f>
        <v>7.1902080000000002</v>
      </c>
      <c r="R47" s="13">
        <f>Q47/12</f>
        <v>0.59918400000000005</v>
      </c>
    </row>
    <row r="48" spans="1:18">
      <c r="A48" s="978" t="s">
        <v>299</v>
      </c>
      <c r="B48" s="253" t="s">
        <v>289</v>
      </c>
      <c r="C48" s="200">
        <v>33</v>
      </c>
      <c r="D48" s="200">
        <v>46</v>
      </c>
      <c r="E48" s="200">
        <v>59</v>
      </c>
      <c r="F48" s="200">
        <v>67</v>
      </c>
      <c r="G48" s="200">
        <v>112</v>
      </c>
      <c r="H48" s="200">
        <v>89</v>
      </c>
      <c r="I48" s="200">
        <v>66</v>
      </c>
      <c r="J48" s="200"/>
      <c r="K48" s="200">
        <v>71</v>
      </c>
      <c r="L48" s="200">
        <v>69</v>
      </c>
      <c r="M48" s="200">
        <v>73</v>
      </c>
      <c r="N48" s="200">
        <v>68</v>
      </c>
      <c r="O48" s="200">
        <v>49</v>
      </c>
      <c r="P48" s="201"/>
    </row>
    <row r="49" spans="1:18">
      <c r="A49" s="979"/>
      <c r="B49" s="69"/>
      <c r="C49" s="166">
        <f t="shared" ref="C49" si="83">C48*60*60*24*365</f>
        <v>1040688000</v>
      </c>
      <c r="D49" s="166">
        <f t="shared" ref="D49" si="84">D48*60*60*24*365</f>
        <v>1450656000</v>
      </c>
      <c r="E49" s="166">
        <f t="shared" ref="E49" si="85">E48*60*60*24*365</f>
        <v>1860624000</v>
      </c>
      <c r="F49" s="166">
        <f t="shared" ref="F49" si="86">F48*60*60*24*365</f>
        <v>2112912000</v>
      </c>
      <c r="G49" s="166">
        <f t="shared" ref="G49" si="87">G48*60*60*24*365</f>
        <v>3532032000</v>
      </c>
      <c r="H49" s="166">
        <f t="shared" ref="H49" si="88">H48*60*60*24*365</f>
        <v>2806704000</v>
      </c>
      <c r="I49" s="166">
        <f t="shared" ref="I49" si="89">I48*60*60*24*365</f>
        <v>2081376000</v>
      </c>
      <c r="J49" s="166">
        <f t="shared" ref="J49" si="90">J48*60*60*24*365</f>
        <v>0</v>
      </c>
      <c r="K49" s="166">
        <f t="shared" ref="K49" si="91">K48*60*60*24*365</f>
        <v>2239056000</v>
      </c>
      <c r="L49" s="166">
        <f t="shared" ref="L49" si="92">L48*60*60*24*365</f>
        <v>2175984000</v>
      </c>
      <c r="M49" s="166">
        <f t="shared" ref="M49" si="93">M48*60*60*24*365</f>
        <v>2302128000</v>
      </c>
      <c r="N49" s="166">
        <f t="shared" ref="N49" si="94">N48*60*60*24*365</f>
        <v>2144448000</v>
      </c>
      <c r="O49" s="166">
        <f t="shared" ref="O49" si="95">O48*60*60*24*365</f>
        <v>1545264000</v>
      </c>
      <c r="P49" s="197">
        <f>SUM(C49:O49)</f>
        <v>25291872000</v>
      </c>
      <c r="Q49" s="198">
        <f>P49/1000000000</f>
        <v>25.291872000000001</v>
      </c>
      <c r="R49" s="13">
        <f>Q49/12</f>
        <v>2.107656</v>
      </c>
    </row>
    <row r="50" spans="1:18" ht="15" thickBot="1">
      <c r="A50" s="980"/>
      <c r="B50" s="6" t="s">
        <v>300</v>
      </c>
      <c r="C50" s="95">
        <v>48</v>
      </c>
      <c r="D50" s="95">
        <v>44</v>
      </c>
      <c r="E50" s="95">
        <v>38</v>
      </c>
      <c r="F50" s="95">
        <v>54</v>
      </c>
      <c r="G50" s="95">
        <v>53</v>
      </c>
      <c r="H50" s="95">
        <v>55</v>
      </c>
      <c r="I50" s="95">
        <v>47</v>
      </c>
      <c r="J50" s="95"/>
      <c r="K50" s="95">
        <v>45</v>
      </c>
      <c r="L50" s="95">
        <v>48</v>
      </c>
      <c r="M50" s="95">
        <v>47</v>
      </c>
      <c r="N50" s="95">
        <v>46</v>
      </c>
      <c r="O50" s="95">
        <v>49</v>
      </c>
      <c r="P50" s="202"/>
    </row>
    <row r="51" spans="1:18" ht="15" thickTop="1">
      <c r="A51" s="49"/>
      <c r="B51" s="69"/>
      <c r="C51" s="166">
        <f t="shared" ref="C51" si="96">C50*60*60*24*365</f>
        <v>1513728000</v>
      </c>
      <c r="D51" s="166">
        <f t="shared" ref="D51" si="97">D50*60*60*24*365</f>
        <v>1387584000</v>
      </c>
      <c r="E51" s="166">
        <f t="shared" ref="E51" si="98">E50*60*60*24*365</f>
        <v>1198368000</v>
      </c>
      <c r="F51" s="166">
        <f t="shared" ref="F51" si="99">F50*60*60*24*365</f>
        <v>1702944000</v>
      </c>
      <c r="G51" s="166">
        <f t="shared" ref="G51" si="100">G50*60*60*24*365</f>
        <v>1671408000</v>
      </c>
      <c r="H51" s="166">
        <f t="shared" ref="H51" si="101">H50*60*60*24*365</f>
        <v>1734480000</v>
      </c>
      <c r="I51" s="166">
        <f t="shared" ref="I51" si="102">I50*60*60*24*365</f>
        <v>1482192000</v>
      </c>
      <c r="J51" s="166">
        <f t="shared" ref="J51" si="103">J50*60*60*24*365</f>
        <v>0</v>
      </c>
      <c r="K51" s="166">
        <f t="shared" ref="K51" si="104">K50*60*60*24*365</f>
        <v>1419120000</v>
      </c>
      <c r="L51" s="166">
        <f t="shared" ref="L51" si="105">L50*60*60*24*365</f>
        <v>1513728000</v>
      </c>
      <c r="M51" s="166">
        <f t="shared" ref="M51" si="106">M50*60*60*24*365</f>
        <v>1482192000</v>
      </c>
      <c r="N51" s="166">
        <f t="shared" ref="N51" si="107">N50*60*60*24*365</f>
        <v>1450656000</v>
      </c>
      <c r="O51" s="166">
        <f t="shared" ref="O51" si="108">O50*60*60*24*365</f>
        <v>1545264000</v>
      </c>
      <c r="P51" s="197">
        <f>SUM(C51:O51)</f>
        <v>18101664000</v>
      </c>
      <c r="Q51" s="198">
        <f>P51/1000000000</f>
        <v>18.101664</v>
      </c>
      <c r="R51" s="13">
        <f>Q51/12</f>
        <v>1.508472</v>
      </c>
    </row>
  </sheetData>
  <mergeCells count="21">
    <mergeCell ref="A5:A6"/>
    <mergeCell ref="A1:P1"/>
    <mergeCell ref="P3:P4"/>
    <mergeCell ref="A2:P2"/>
    <mergeCell ref="C3:I3"/>
    <mergeCell ref="K3:O3"/>
    <mergeCell ref="A3:A4"/>
    <mergeCell ref="B3:B4"/>
    <mergeCell ref="A16:K16"/>
    <mergeCell ref="A22:D22"/>
    <mergeCell ref="G22:I22"/>
    <mergeCell ref="A7:A8"/>
    <mergeCell ref="A9:A10"/>
    <mergeCell ref="A11:A12"/>
    <mergeCell ref="A13:A14"/>
    <mergeCell ref="A17:I17"/>
    <mergeCell ref="A32:A34"/>
    <mergeCell ref="A36:A38"/>
    <mergeCell ref="A40:A42"/>
    <mergeCell ref="A44:A46"/>
    <mergeCell ref="A48:A50"/>
  </mergeCells>
  <printOptions horizontalCentered="1"/>
  <pageMargins left="0.7" right="0.7" top="0.75" bottom="0.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D27"/>
  <sheetViews>
    <sheetView rightToLeft="1" view="pageBreakPreview" zoomScale="110" zoomScaleSheetLayoutView="110" workbookViewId="0">
      <selection activeCell="I4" sqref="I4"/>
    </sheetView>
  </sheetViews>
  <sheetFormatPr defaultRowHeight="14.25"/>
  <cols>
    <col min="1" max="1" width="4.25" customWidth="1"/>
    <col min="2" max="2" width="13.875" customWidth="1"/>
    <col min="3" max="3" width="8" customWidth="1"/>
    <col min="4" max="10" width="9.625" customWidth="1"/>
    <col min="11" max="11" width="9.625" style="29" customWidth="1"/>
    <col min="12" max="12" width="8.75" customWidth="1"/>
    <col min="13" max="13" width="8.625" customWidth="1"/>
  </cols>
  <sheetData>
    <row r="1" spans="1:13" ht="26.25" customHeight="1">
      <c r="A1" s="947" t="s">
        <v>743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</row>
    <row r="2" spans="1:13" s="224" customFormat="1" ht="26.25" customHeight="1" thickBot="1">
      <c r="A2" s="948" t="s">
        <v>307</v>
      </c>
      <c r="B2" s="94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647" t="s">
        <v>456</v>
      </c>
    </row>
    <row r="3" spans="1:13" ht="19.5" customHeight="1" thickTop="1">
      <c r="A3" s="984" t="s">
        <v>14</v>
      </c>
      <c r="B3" s="984" t="s">
        <v>0</v>
      </c>
      <c r="C3" s="989" t="s">
        <v>462</v>
      </c>
      <c r="D3" s="989"/>
      <c r="E3" s="989"/>
      <c r="F3" s="989"/>
      <c r="G3" s="989"/>
      <c r="H3" s="989"/>
      <c r="I3" s="989"/>
      <c r="J3" s="989"/>
      <c r="K3" s="984" t="s">
        <v>445</v>
      </c>
      <c r="L3" s="984" t="s">
        <v>446</v>
      </c>
      <c r="M3" s="993" t="s">
        <v>275</v>
      </c>
    </row>
    <row r="4" spans="1:13" ht="19.5" customHeight="1">
      <c r="A4" s="992"/>
      <c r="B4" s="992"/>
      <c r="C4" s="262" t="s">
        <v>48</v>
      </c>
      <c r="D4" s="262" t="s">
        <v>49</v>
      </c>
      <c r="E4" s="262" t="s">
        <v>50</v>
      </c>
      <c r="F4" s="262" t="s">
        <v>51</v>
      </c>
      <c r="G4" s="262" t="s">
        <v>20</v>
      </c>
      <c r="H4" s="262" t="s">
        <v>276</v>
      </c>
      <c r="I4" s="262" t="s">
        <v>22</v>
      </c>
      <c r="J4" s="262" t="s">
        <v>23</v>
      </c>
      <c r="K4" s="992"/>
      <c r="L4" s="992"/>
      <c r="M4" s="994"/>
    </row>
    <row r="5" spans="1:13" ht="20.25" customHeight="1">
      <c r="A5" s="82" t="s">
        <v>52</v>
      </c>
      <c r="B5" s="64" t="s">
        <v>79</v>
      </c>
      <c r="C5" s="81">
        <v>2</v>
      </c>
      <c r="D5" s="85">
        <v>2</v>
      </c>
      <c r="E5" s="85">
        <v>201</v>
      </c>
      <c r="F5" s="85">
        <v>54</v>
      </c>
      <c r="G5" s="85">
        <v>83</v>
      </c>
      <c r="H5" s="85">
        <v>134</v>
      </c>
      <c r="I5" s="85">
        <v>70</v>
      </c>
      <c r="J5" s="81">
        <v>25</v>
      </c>
      <c r="K5" s="99">
        <f>SUM(C5:J5)</f>
        <v>571</v>
      </c>
      <c r="L5" s="85">
        <v>622</v>
      </c>
      <c r="M5" s="285">
        <f>K5/L5*100</f>
        <v>91.80064308681672</v>
      </c>
    </row>
    <row r="6" spans="1:13" ht="20.25" customHeight="1">
      <c r="A6" s="80" t="s">
        <v>54</v>
      </c>
      <c r="B6" s="66" t="s">
        <v>80</v>
      </c>
      <c r="C6" s="81">
        <v>0</v>
      </c>
      <c r="D6" s="81">
        <v>0</v>
      </c>
      <c r="E6" s="81">
        <v>134</v>
      </c>
      <c r="F6" s="81">
        <v>37</v>
      </c>
      <c r="G6" s="81">
        <v>24</v>
      </c>
      <c r="H6" s="81">
        <v>90</v>
      </c>
      <c r="I6" s="81">
        <v>46</v>
      </c>
      <c r="J6" s="81">
        <v>5</v>
      </c>
      <c r="K6" s="100">
        <f>SUM(C6:J6)</f>
        <v>336</v>
      </c>
      <c r="L6" s="81">
        <v>380</v>
      </c>
      <c r="M6" s="103">
        <f t="shared" ref="M6:M22" si="0">K6/L6*100</f>
        <v>88.421052631578945</v>
      </c>
    </row>
    <row r="7" spans="1:13" ht="20.25" customHeight="1">
      <c r="A7" s="80" t="s">
        <v>56</v>
      </c>
      <c r="B7" s="66" t="s">
        <v>53</v>
      </c>
      <c r="C7" s="81">
        <v>0</v>
      </c>
      <c r="D7" s="81">
        <v>0</v>
      </c>
      <c r="E7" s="81">
        <v>70</v>
      </c>
      <c r="F7" s="81">
        <v>8</v>
      </c>
      <c r="G7" s="81">
        <v>7</v>
      </c>
      <c r="H7" s="81">
        <v>56</v>
      </c>
      <c r="I7" s="81">
        <v>65</v>
      </c>
      <c r="J7" s="81">
        <v>4</v>
      </c>
      <c r="K7" s="100">
        <f>SUM(C7:J7)</f>
        <v>210</v>
      </c>
      <c r="L7" s="81">
        <v>348</v>
      </c>
      <c r="M7" s="103">
        <f t="shared" si="0"/>
        <v>60.344827586206897</v>
      </c>
    </row>
    <row r="8" spans="1:13" ht="20.25" customHeight="1">
      <c r="A8" s="80" t="s">
        <v>57</v>
      </c>
      <c r="B8" s="852" t="s">
        <v>55</v>
      </c>
      <c r="C8" s="305" t="s">
        <v>421</v>
      </c>
      <c r="D8" s="305" t="s">
        <v>421</v>
      </c>
      <c r="E8" s="305" t="s">
        <v>421</v>
      </c>
      <c r="F8" s="305" t="s">
        <v>421</v>
      </c>
      <c r="G8" s="305" t="s">
        <v>421</v>
      </c>
      <c r="H8" s="305" t="s">
        <v>421</v>
      </c>
      <c r="I8" s="305" t="s">
        <v>421</v>
      </c>
      <c r="J8" s="305" t="s">
        <v>421</v>
      </c>
      <c r="K8" s="305" t="s">
        <v>421</v>
      </c>
      <c r="L8" s="305" t="s">
        <v>421</v>
      </c>
      <c r="M8" s="305" t="s">
        <v>421</v>
      </c>
    </row>
    <row r="9" spans="1:13" ht="20.25" customHeight="1">
      <c r="A9" s="97" t="s">
        <v>59</v>
      </c>
      <c r="B9" s="66" t="s">
        <v>84</v>
      </c>
      <c r="C9" s="81">
        <v>1</v>
      </c>
      <c r="D9" s="81">
        <v>1</v>
      </c>
      <c r="E9" s="81">
        <v>235</v>
      </c>
      <c r="F9" s="81">
        <v>48</v>
      </c>
      <c r="G9" s="81">
        <v>68</v>
      </c>
      <c r="H9" s="81">
        <v>121</v>
      </c>
      <c r="I9" s="81">
        <v>48</v>
      </c>
      <c r="J9" s="81">
        <v>6</v>
      </c>
      <c r="K9" s="100">
        <f t="shared" ref="K9:K14" si="1">SUM(C9:J9)</f>
        <v>528</v>
      </c>
      <c r="L9" s="81">
        <v>659</v>
      </c>
      <c r="M9" s="103">
        <f t="shared" si="0"/>
        <v>80.121396054628221</v>
      </c>
    </row>
    <row r="10" spans="1:13" ht="20.25" customHeight="1">
      <c r="A10" s="80" t="s">
        <v>61</v>
      </c>
      <c r="B10" s="66" t="s">
        <v>58</v>
      </c>
      <c r="C10" s="81">
        <v>0</v>
      </c>
      <c r="D10" s="81">
        <v>1</v>
      </c>
      <c r="E10" s="81">
        <v>111</v>
      </c>
      <c r="F10" s="81">
        <v>46</v>
      </c>
      <c r="G10" s="81">
        <v>30</v>
      </c>
      <c r="H10" s="81">
        <v>110</v>
      </c>
      <c r="I10" s="81">
        <v>58</v>
      </c>
      <c r="J10" s="81">
        <v>36</v>
      </c>
      <c r="K10" s="100">
        <f t="shared" si="1"/>
        <v>392</v>
      </c>
      <c r="L10" s="81">
        <v>290</v>
      </c>
      <c r="M10" s="103">
        <f t="shared" si="0"/>
        <v>135.17241379310346</v>
      </c>
    </row>
    <row r="11" spans="1:13" ht="20.25" customHeight="1">
      <c r="A11" s="80" t="s">
        <v>63</v>
      </c>
      <c r="B11" s="66" t="s">
        <v>60</v>
      </c>
      <c r="C11" s="81">
        <v>0</v>
      </c>
      <c r="D11" s="81">
        <v>0</v>
      </c>
      <c r="E11" s="81">
        <v>30</v>
      </c>
      <c r="F11" s="81">
        <v>10</v>
      </c>
      <c r="G11" s="81">
        <v>9</v>
      </c>
      <c r="H11" s="81">
        <v>42</v>
      </c>
      <c r="I11" s="81">
        <v>9</v>
      </c>
      <c r="J11" s="81">
        <v>0.1</v>
      </c>
      <c r="K11" s="450">
        <f t="shared" si="1"/>
        <v>100.1</v>
      </c>
      <c r="L11" s="81">
        <v>144</v>
      </c>
      <c r="M11" s="103">
        <v>69.400000000000006</v>
      </c>
    </row>
    <row r="12" spans="1:13" ht="20.25" customHeight="1">
      <c r="A12" s="80" t="s">
        <v>65</v>
      </c>
      <c r="B12" s="66" t="s">
        <v>62</v>
      </c>
      <c r="C12" s="81">
        <v>0</v>
      </c>
      <c r="D12" s="81">
        <v>0</v>
      </c>
      <c r="E12" s="81">
        <v>83</v>
      </c>
      <c r="F12" s="81">
        <v>10</v>
      </c>
      <c r="G12" s="81">
        <v>4</v>
      </c>
      <c r="H12" s="81">
        <v>34</v>
      </c>
      <c r="I12" s="81">
        <v>18</v>
      </c>
      <c r="J12" s="81">
        <v>4</v>
      </c>
      <c r="K12" s="100">
        <f t="shared" si="1"/>
        <v>153</v>
      </c>
      <c r="L12" s="81">
        <v>135</v>
      </c>
      <c r="M12" s="103">
        <f t="shared" si="0"/>
        <v>113.33333333333333</v>
      </c>
    </row>
    <row r="13" spans="1:13" ht="20.25" customHeight="1">
      <c r="A13" s="80" t="s">
        <v>67</v>
      </c>
      <c r="B13" s="66" t="s">
        <v>64</v>
      </c>
      <c r="C13" s="81">
        <v>2</v>
      </c>
      <c r="D13" s="81">
        <v>2</v>
      </c>
      <c r="E13" s="81">
        <v>112</v>
      </c>
      <c r="F13" s="81">
        <v>65</v>
      </c>
      <c r="G13" s="81">
        <v>84</v>
      </c>
      <c r="H13" s="81">
        <v>107</v>
      </c>
      <c r="I13" s="81">
        <v>31</v>
      </c>
      <c r="J13" s="81">
        <v>12</v>
      </c>
      <c r="K13" s="100">
        <f t="shared" si="1"/>
        <v>415</v>
      </c>
      <c r="L13" s="81">
        <v>611</v>
      </c>
      <c r="M13" s="103">
        <f t="shared" si="0"/>
        <v>67.921440261865797</v>
      </c>
    </row>
    <row r="14" spans="1:13" ht="20.25" customHeight="1">
      <c r="A14" s="80" t="s">
        <v>69</v>
      </c>
      <c r="B14" s="66" t="s">
        <v>111</v>
      </c>
      <c r="C14" s="450">
        <v>0</v>
      </c>
      <c r="D14" s="450">
        <v>0</v>
      </c>
      <c r="E14" s="450">
        <v>29</v>
      </c>
      <c r="F14" s="450">
        <v>3</v>
      </c>
      <c r="G14" s="450">
        <v>5</v>
      </c>
      <c r="H14" s="450">
        <v>7</v>
      </c>
      <c r="I14" s="450">
        <v>9</v>
      </c>
      <c r="J14" s="328">
        <v>0.8</v>
      </c>
      <c r="K14" s="450">
        <f t="shared" si="1"/>
        <v>53.8</v>
      </c>
      <c r="L14" s="81">
        <v>96</v>
      </c>
      <c r="M14" s="103">
        <v>56.3</v>
      </c>
    </row>
    <row r="15" spans="1:13" ht="20.25" customHeight="1">
      <c r="A15" s="80" t="s">
        <v>70</v>
      </c>
      <c r="B15" s="852" t="s">
        <v>68</v>
      </c>
      <c r="C15" s="874" t="s">
        <v>421</v>
      </c>
      <c r="D15" s="874" t="s">
        <v>421</v>
      </c>
      <c r="E15" s="874" t="s">
        <v>421</v>
      </c>
      <c r="F15" s="874" t="s">
        <v>421</v>
      </c>
      <c r="G15" s="874" t="s">
        <v>421</v>
      </c>
      <c r="H15" s="874" t="s">
        <v>421</v>
      </c>
      <c r="I15" s="874" t="s">
        <v>421</v>
      </c>
      <c r="J15" s="874" t="s">
        <v>421</v>
      </c>
      <c r="K15" s="874" t="s">
        <v>421</v>
      </c>
      <c r="L15" s="874" t="s">
        <v>421</v>
      </c>
      <c r="M15" s="874" t="s">
        <v>421</v>
      </c>
    </row>
    <row r="16" spans="1:13" ht="20.25" customHeight="1">
      <c r="A16" s="80" t="s">
        <v>71</v>
      </c>
      <c r="B16" s="66" t="s">
        <v>308</v>
      </c>
      <c r="C16" s="450">
        <v>0</v>
      </c>
      <c r="D16" s="450">
        <v>0</v>
      </c>
      <c r="E16" s="450">
        <v>38</v>
      </c>
      <c r="F16" s="450">
        <v>26</v>
      </c>
      <c r="G16" s="450">
        <v>20</v>
      </c>
      <c r="H16" s="450">
        <v>120</v>
      </c>
      <c r="I16" s="450">
        <v>17</v>
      </c>
      <c r="J16" s="328">
        <v>0.1</v>
      </c>
      <c r="K16" s="450">
        <f t="shared" ref="K16:K22" si="2">SUM(C16:J16)</f>
        <v>221.1</v>
      </c>
      <c r="L16" s="81">
        <v>104</v>
      </c>
      <c r="M16" s="103">
        <v>212.5</v>
      </c>
    </row>
    <row r="17" spans="1:30" ht="20.25" customHeight="1">
      <c r="A17" s="80" t="s">
        <v>73</v>
      </c>
      <c r="B17" s="66" t="s">
        <v>436</v>
      </c>
      <c r="C17" s="450">
        <v>0</v>
      </c>
      <c r="D17" s="450">
        <v>0</v>
      </c>
      <c r="E17" s="450">
        <v>3</v>
      </c>
      <c r="F17" s="450">
        <v>0</v>
      </c>
      <c r="G17" s="450">
        <v>1</v>
      </c>
      <c r="H17" s="450">
        <v>25</v>
      </c>
      <c r="I17" s="450">
        <v>16</v>
      </c>
      <c r="J17" s="450">
        <v>0</v>
      </c>
      <c r="K17" s="450">
        <f t="shared" si="2"/>
        <v>45</v>
      </c>
      <c r="L17" s="81">
        <v>141</v>
      </c>
      <c r="M17" s="103">
        <f t="shared" si="0"/>
        <v>31.914893617021278</v>
      </c>
    </row>
    <row r="18" spans="1:30" ht="20.25" customHeight="1">
      <c r="A18" s="80" t="s">
        <v>75</v>
      </c>
      <c r="B18" s="66" t="s">
        <v>72</v>
      </c>
      <c r="C18" s="81">
        <v>0</v>
      </c>
      <c r="D18" s="81">
        <v>0</v>
      </c>
      <c r="E18" s="81">
        <v>28</v>
      </c>
      <c r="F18" s="81">
        <v>6</v>
      </c>
      <c r="G18" s="284">
        <v>11</v>
      </c>
      <c r="H18" s="284">
        <v>33</v>
      </c>
      <c r="I18" s="81">
        <v>22</v>
      </c>
      <c r="J18" s="81">
        <v>5</v>
      </c>
      <c r="K18" s="100">
        <f t="shared" si="2"/>
        <v>105</v>
      </c>
      <c r="L18" s="81">
        <v>152</v>
      </c>
      <c r="M18" s="103">
        <f t="shared" si="0"/>
        <v>69.078947368421055</v>
      </c>
    </row>
    <row r="19" spans="1:30" ht="20.25" customHeight="1">
      <c r="A19" s="76" t="s">
        <v>77</v>
      </c>
      <c r="B19" s="66" t="s">
        <v>74</v>
      </c>
      <c r="C19" s="81">
        <v>0</v>
      </c>
      <c r="D19" s="81">
        <v>0</v>
      </c>
      <c r="E19" s="81">
        <v>0</v>
      </c>
      <c r="F19" s="81">
        <v>12</v>
      </c>
      <c r="G19" s="81">
        <v>15</v>
      </c>
      <c r="H19" s="284">
        <v>15</v>
      </c>
      <c r="I19" s="284">
        <v>18</v>
      </c>
      <c r="J19" s="284">
        <v>14</v>
      </c>
      <c r="K19" s="100">
        <f t="shared" si="2"/>
        <v>74</v>
      </c>
      <c r="L19" s="81">
        <v>99</v>
      </c>
      <c r="M19" s="103">
        <f t="shared" si="0"/>
        <v>74.747474747474755</v>
      </c>
    </row>
    <row r="20" spans="1:30" ht="20.25" customHeight="1">
      <c r="A20" s="80" t="s">
        <v>81</v>
      </c>
      <c r="B20" s="66" t="s">
        <v>76</v>
      </c>
      <c r="C20" s="81">
        <v>0</v>
      </c>
      <c r="D20" s="81">
        <v>0</v>
      </c>
      <c r="E20" s="81">
        <v>33</v>
      </c>
      <c r="F20" s="81">
        <v>13</v>
      </c>
      <c r="G20" s="81">
        <v>5</v>
      </c>
      <c r="H20" s="284">
        <v>10</v>
      </c>
      <c r="I20" s="284">
        <v>21</v>
      </c>
      <c r="J20" s="284">
        <v>0</v>
      </c>
      <c r="K20" s="100">
        <f t="shared" si="2"/>
        <v>82</v>
      </c>
      <c r="L20" s="81">
        <v>207</v>
      </c>
      <c r="M20" s="103">
        <f t="shared" si="0"/>
        <v>39.613526570048307</v>
      </c>
    </row>
    <row r="21" spans="1:30" ht="20.25" customHeight="1">
      <c r="A21" s="76" t="s">
        <v>82</v>
      </c>
      <c r="B21" s="98" t="s">
        <v>310</v>
      </c>
      <c r="C21" s="100">
        <v>0</v>
      </c>
      <c r="D21" s="100">
        <v>0</v>
      </c>
      <c r="E21" s="100">
        <v>27</v>
      </c>
      <c r="F21" s="100">
        <v>0</v>
      </c>
      <c r="G21" s="100">
        <v>0.1</v>
      </c>
      <c r="H21" s="100">
        <v>11</v>
      </c>
      <c r="I21" s="100">
        <v>6</v>
      </c>
      <c r="J21" s="100">
        <v>0</v>
      </c>
      <c r="K21" s="328">
        <f t="shared" si="2"/>
        <v>44.1</v>
      </c>
      <c r="L21" s="79">
        <v>75</v>
      </c>
      <c r="M21" s="103">
        <f t="shared" si="0"/>
        <v>58.8</v>
      </c>
    </row>
    <row r="22" spans="1:30" ht="20.25" customHeight="1" thickBot="1">
      <c r="A22" s="454" t="s">
        <v>309</v>
      </c>
      <c r="B22" s="68" t="s">
        <v>78</v>
      </c>
      <c r="C22" s="81">
        <v>0</v>
      </c>
      <c r="D22" s="81">
        <v>0</v>
      </c>
      <c r="E22" s="81">
        <v>15</v>
      </c>
      <c r="F22" s="81">
        <v>3</v>
      </c>
      <c r="G22" s="81">
        <v>7</v>
      </c>
      <c r="H22" s="284">
        <v>42</v>
      </c>
      <c r="I22" s="284">
        <v>20</v>
      </c>
      <c r="J22" s="284">
        <v>0</v>
      </c>
      <c r="K22" s="101">
        <f t="shared" si="2"/>
        <v>87</v>
      </c>
      <c r="L22" s="102">
        <v>103</v>
      </c>
      <c r="M22" s="638">
        <f t="shared" si="0"/>
        <v>84.466019417475721</v>
      </c>
    </row>
    <row r="23" spans="1:30" ht="20.25" customHeight="1" thickTop="1">
      <c r="A23" s="991" t="s">
        <v>444</v>
      </c>
      <c r="B23" s="991"/>
      <c r="C23" s="26"/>
      <c r="D23" s="26"/>
      <c r="E23" s="26"/>
      <c r="F23" s="26"/>
      <c r="G23" s="26"/>
      <c r="H23" s="26"/>
      <c r="I23" s="26"/>
      <c r="J23" s="26"/>
      <c r="K23" s="27"/>
      <c r="L23" s="28"/>
      <c r="M23" s="28"/>
    </row>
    <row r="24" spans="1:30" ht="20.25" customHeight="1">
      <c r="A24" s="995" t="s">
        <v>664</v>
      </c>
      <c r="B24" s="995"/>
      <c r="C24" s="995"/>
      <c r="D24" s="995"/>
      <c r="E24" s="995"/>
      <c r="F24" s="995"/>
      <c r="G24" s="995"/>
      <c r="H24" s="995"/>
      <c r="I24" s="995"/>
      <c r="J24" s="995"/>
      <c r="K24" s="995"/>
      <c r="L24" s="995"/>
      <c r="M24" s="995"/>
    </row>
    <row r="25" spans="1:30" ht="20.25" customHeight="1">
      <c r="A25" s="995" t="s">
        <v>665</v>
      </c>
      <c r="B25" s="995"/>
      <c r="C25" s="995"/>
      <c r="D25" s="995"/>
      <c r="E25" s="995"/>
      <c r="F25" s="995"/>
      <c r="G25" s="995"/>
      <c r="H25" s="995"/>
      <c r="I25" s="995"/>
      <c r="J25" s="834"/>
      <c r="K25" s="834"/>
      <c r="L25" s="834"/>
      <c r="M25" s="834"/>
    </row>
    <row r="26" spans="1:30" ht="20.25" customHeight="1">
      <c r="A26" s="963" t="s">
        <v>7</v>
      </c>
      <c r="B26" s="963"/>
      <c r="C26" s="963"/>
      <c r="D26" s="963"/>
      <c r="E26" s="963"/>
      <c r="F26" s="963"/>
      <c r="G26" s="963"/>
      <c r="H26" s="963"/>
      <c r="I26" s="963"/>
      <c r="J26" s="963"/>
      <c r="K26" s="963"/>
      <c r="L26" s="963"/>
      <c r="M26" s="963"/>
      <c r="N26" s="72"/>
    </row>
    <row r="27" spans="1:30" ht="20.25" customHeight="1">
      <c r="A27" s="981" t="s">
        <v>287</v>
      </c>
      <c r="B27" s="981"/>
      <c r="C27" s="981"/>
      <c r="D27" s="981"/>
      <c r="E27" s="159"/>
      <c r="F27" s="982"/>
      <c r="G27" s="982"/>
      <c r="H27" s="982"/>
      <c r="I27" s="982"/>
      <c r="J27" s="159"/>
      <c r="K27" s="159"/>
      <c r="L27" s="159"/>
      <c r="M27" s="159">
        <v>27</v>
      </c>
      <c r="N27" s="19"/>
      <c r="O27" s="1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D27" s="12"/>
    </row>
  </sheetData>
  <mergeCells count="14">
    <mergeCell ref="A27:D27"/>
    <mergeCell ref="A23:B23"/>
    <mergeCell ref="A1:M1"/>
    <mergeCell ref="A3:A4"/>
    <mergeCell ref="B3:B4"/>
    <mergeCell ref="M3:M4"/>
    <mergeCell ref="F27:I27"/>
    <mergeCell ref="A24:M24"/>
    <mergeCell ref="A26:M26"/>
    <mergeCell ref="C3:J3"/>
    <mergeCell ref="K3:K4"/>
    <mergeCell ref="L3:L4"/>
    <mergeCell ref="A25:I25"/>
    <mergeCell ref="A2:B2"/>
  </mergeCells>
  <printOptions horizontalCentered="1"/>
  <pageMargins left="0.7" right="0.7" top="0.5" bottom="0.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W56"/>
  <sheetViews>
    <sheetView rightToLeft="1" view="pageBreakPreview" topLeftCell="A10" zoomScale="110" zoomScaleSheetLayoutView="110" workbookViewId="0">
      <selection activeCell="A25" sqref="A25:C25"/>
    </sheetView>
  </sheetViews>
  <sheetFormatPr defaultColWidth="8.75" defaultRowHeight="14.25"/>
  <cols>
    <col min="1" max="1" width="12.375" customWidth="1"/>
    <col min="2" max="9" width="11.625" customWidth="1"/>
    <col min="10" max="10" width="10.75" customWidth="1"/>
  </cols>
  <sheetData>
    <row r="1" spans="1:10" ht="24.75" customHeight="1">
      <c r="A1" s="996" t="s">
        <v>463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ht="21" customHeight="1">
      <c r="A2" s="325" t="s">
        <v>311</v>
      </c>
      <c r="B2" s="325"/>
      <c r="C2" s="325"/>
      <c r="D2" s="325"/>
      <c r="E2" s="325"/>
      <c r="F2" s="325"/>
      <c r="G2" s="325"/>
      <c r="H2" s="325"/>
      <c r="I2" s="325"/>
      <c r="J2" s="325" t="s">
        <v>330</v>
      </c>
    </row>
    <row r="3" spans="1:10" ht="6.75" customHeight="1" thickBot="1">
      <c r="B3" s="24"/>
      <c r="C3" s="24"/>
      <c r="D3" s="24"/>
      <c r="E3" s="24"/>
      <c r="F3" s="24"/>
    </row>
    <row r="4" spans="1:10" ht="32.25" customHeight="1" thickTop="1">
      <c r="A4" s="255" t="s">
        <v>83</v>
      </c>
      <c r="B4" s="263" t="s">
        <v>84</v>
      </c>
      <c r="C4" s="263" t="s">
        <v>85</v>
      </c>
      <c r="D4" s="263" t="s">
        <v>53</v>
      </c>
      <c r="E4" s="263" t="s">
        <v>87</v>
      </c>
      <c r="F4" s="263" t="s">
        <v>312</v>
      </c>
      <c r="G4" s="264" t="s">
        <v>369</v>
      </c>
      <c r="H4" s="264" t="s">
        <v>371</v>
      </c>
      <c r="I4" s="264" t="s">
        <v>370</v>
      </c>
      <c r="J4" s="279" t="s">
        <v>313</v>
      </c>
    </row>
    <row r="5" spans="1:10" ht="23.1" customHeight="1">
      <c r="A5" s="64" t="s">
        <v>90</v>
      </c>
      <c r="B5" s="90">
        <v>118</v>
      </c>
      <c r="C5" s="90">
        <v>152</v>
      </c>
      <c r="D5" s="90">
        <v>271</v>
      </c>
      <c r="E5" s="928" t="s">
        <v>744</v>
      </c>
      <c r="F5" s="90">
        <v>233</v>
      </c>
      <c r="G5" s="90" t="s">
        <v>421</v>
      </c>
      <c r="H5" s="90" t="s">
        <v>421</v>
      </c>
      <c r="I5" s="90" t="s">
        <v>421</v>
      </c>
      <c r="J5" s="90" t="s">
        <v>421</v>
      </c>
    </row>
    <row r="6" spans="1:10" ht="23.1" customHeight="1">
      <c r="A6" s="66" t="s">
        <v>91</v>
      </c>
      <c r="B6" s="89">
        <v>78</v>
      </c>
      <c r="C6" s="89">
        <v>108</v>
      </c>
      <c r="D6" s="89">
        <v>147</v>
      </c>
      <c r="E6" s="929" t="s">
        <v>744</v>
      </c>
      <c r="F6" s="89">
        <v>153</v>
      </c>
      <c r="G6" s="89" t="s">
        <v>421</v>
      </c>
      <c r="H6" s="89" t="s">
        <v>421</v>
      </c>
      <c r="I6" s="89" t="s">
        <v>421</v>
      </c>
      <c r="J6" s="89" t="s">
        <v>421</v>
      </c>
    </row>
    <row r="7" spans="1:10" ht="23.1" customHeight="1">
      <c r="A7" s="66" t="s">
        <v>92</v>
      </c>
      <c r="B7" s="89">
        <v>47</v>
      </c>
      <c r="C7" s="89">
        <v>56</v>
      </c>
      <c r="D7" s="89">
        <v>60</v>
      </c>
      <c r="E7" s="929" t="s">
        <v>744</v>
      </c>
      <c r="F7" s="89">
        <v>123</v>
      </c>
      <c r="G7" s="89" t="s">
        <v>421</v>
      </c>
      <c r="H7" s="89" t="s">
        <v>421</v>
      </c>
      <c r="I7" s="89" t="s">
        <v>421</v>
      </c>
      <c r="J7" s="89" t="s">
        <v>421</v>
      </c>
    </row>
    <row r="8" spans="1:10" ht="23.1" customHeight="1">
      <c r="A8" s="66" t="s">
        <v>93</v>
      </c>
      <c r="B8" s="89">
        <v>50</v>
      </c>
      <c r="C8" s="89">
        <v>43</v>
      </c>
      <c r="D8" s="89">
        <v>40</v>
      </c>
      <c r="E8" s="929" t="s">
        <v>744</v>
      </c>
      <c r="F8" s="89">
        <v>120</v>
      </c>
      <c r="G8" s="89" t="s">
        <v>421</v>
      </c>
      <c r="H8" s="89" t="s">
        <v>421</v>
      </c>
      <c r="I8" s="89" t="s">
        <v>421</v>
      </c>
      <c r="J8" s="89" t="s">
        <v>421</v>
      </c>
    </row>
    <row r="9" spans="1:10" ht="23.1" customHeight="1">
      <c r="A9" s="66" t="s">
        <v>20</v>
      </c>
      <c r="B9" s="89">
        <v>67</v>
      </c>
      <c r="C9" s="89">
        <v>49</v>
      </c>
      <c r="D9" s="89">
        <v>53</v>
      </c>
      <c r="E9" s="929" t="s">
        <v>744</v>
      </c>
      <c r="F9" s="89">
        <v>98</v>
      </c>
      <c r="G9" s="89" t="s">
        <v>421</v>
      </c>
      <c r="H9" s="89" t="s">
        <v>421</v>
      </c>
      <c r="I9" s="89" t="s">
        <v>421</v>
      </c>
      <c r="J9" s="89" t="s">
        <v>421</v>
      </c>
    </row>
    <row r="10" spans="1:10" ht="23.1" customHeight="1">
      <c r="A10" s="66" t="s">
        <v>40</v>
      </c>
      <c r="B10" s="89">
        <v>93</v>
      </c>
      <c r="C10" s="89">
        <v>71</v>
      </c>
      <c r="D10" s="89">
        <v>134</v>
      </c>
      <c r="E10" s="929" t="s">
        <v>744</v>
      </c>
      <c r="F10" s="89">
        <v>140</v>
      </c>
      <c r="G10" s="89" t="s">
        <v>421</v>
      </c>
      <c r="H10" s="89" t="s">
        <v>421</v>
      </c>
      <c r="I10" s="89" t="s">
        <v>421</v>
      </c>
      <c r="J10" s="89" t="s">
        <v>421</v>
      </c>
    </row>
    <row r="11" spans="1:10" ht="23.1" customHeight="1">
      <c r="A11" s="66" t="s">
        <v>22</v>
      </c>
      <c r="B11" s="89">
        <v>93</v>
      </c>
      <c r="C11" s="89">
        <v>93</v>
      </c>
      <c r="D11" s="89">
        <v>195</v>
      </c>
      <c r="E11" s="929" t="s">
        <v>744</v>
      </c>
      <c r="F11" s="89">
        <v>210</v>
      </c>
      <c r="G11" s="89" t="s">
        <v>421</v>
      </c>
      <c r="H11" s="89" t="s">
        <v>421</v>
      </c>
      <c r="I11" s="89" t="s">
        <v>421</v>
      </c>
      <c r="J11" s="89" t="s">
        <v>421</v>
      </c>
    </row>
    <row r="12" spans="1:10" ht="23.1" customHeight="1">
      <c r="A12" s="66" t="s">
        <v>23</v>
      </c>
      <c r="B12" s="89">
        <v>236</v>
      </c>
      <c r="C12" s="89">
        <v>202</v>
      </c>
      <c r="D12" s="89">
        <v>476</v>
      </c>
      <c r="E12" s="929" t="s">
        <v>744</v>
      </c>
      <c r="F12" s="89">
        <v>300</v>
      </c>
      <c r="G12" s="89" t="s">
        <v>421</v>
      </c>
      <c r="H12" s="89" t="s">
        <v>421</v>
      </c>
      <c r="I12" s="89" t="s">
        <v>421</v>
      </c>
      <c r="J12" s="89" t="s">
        <v>421</v>
      </c>
    </row>
    <row r="13" spans="1:10" ht="23.1" customHeight="1">
      <c r="A13" s="66" t="s">
        <v>24</v>
      </c>
      <c r="B13" s="89">
        <v>297</v>
      </c>
      <c r="C13" s="89">
        <v>294</v>
      </c>
      <c r="D13" s="89">
        <v>618</v>
      </c>
      <c r="E13" s="929" t="s">
        <v>744</v>
      </c>
      <c r="F13" s="89">
        <v>418</v>
      </c>
      <c r="G13" s="89" t="s">
        <v>421</v>
      </c>
      <c r="H13" s="89" t="s">
        <v>421</v>
      </c>
      <c r="I13" s="89" t="s">
        <v>421</v>
      </c>
      <c r="J13" s="89" t="s">
        <v>421</v>
      </c>
    </row>
    <row r="14" spans="1:10" ht="23.1" customHeight="1">
      <c r="A14" s="66" t="s">
        <v>25</v>
      </c>
      <c r="B14" s="89">
        <v>397</v>
      </c>
      <c r="C14" s="89">
        <v>319</v>
      </c>
      <c r="D14" s="89">
        <v>686</v>
      </c>
      <c r="E14" s="929" t="s">
        <v>744</v>
      </c>
      <c r="F14" s="89">
        <v>462</v>
      </c>
      <c r="G14" s="89" t="s">
        <v>421</v>
      </c>
      <c r="H14" s="89" t="s">
        <v>421</v>
      </c>
      <c r="I14" s="89" t="s">
        <v>421</v>
      </c>
      <c r="J14" s="89" t="s">
        <v>421</v>
      </c>
    </row>
    <row r="15" spans="1:10" ht="23.1" customHeight="1">
      <c r="A15" s="66" t="s">
        <v>41</v>
      </c>
      <c r="B15" s="89">
        <v>394</v>
      </c>
      <c r="C15" s="89">
        <v>316</v>
      </c>
      <c r="D15" s="89">
        <v>690</v>
      </c>
      <c r="E15" s="929" t="s">
        <v>744</v>
      </c>
      <c r="F15" s="89">
        <v>453</v>
      </c>
      <c r="G15" s="89" t="s">
        <v>421</v>
      </c>
      <c r="H15" s="89" t="s">
        <v>421</v>
      </c>
      <c r="I15" s="89" t="s">
        <v>421</v>
      </c>
      <c r="J15" s="89" t="s">
        <v>421</v>
      </c>
    </row>
    <row r="16" spans="1:10" ht="23.1" customHeight="1" thickBot="1">
      <c r="A16" s="98" t="s">
        <v>27</v>
      </c>
      <c r="B16" s="161">
        <v>282</v>
      </c>
      <c r="C16" s="161">
        <v>258</v>
      </c>
      <c r="D16" s="161">
        <v>575</v>
      </c>
      <c r="E16" s="929" t="s">
        <v>744</v>
      </c>
      <c r="F16" s="161">
        <v>399</v>
      </c>
      <c r="G16" s="161" t="s">
        <v>421</v>
      </c>
      <c r="H16" s="161" t="s">
        <v>421</v>
      </c>
      <c r="I16" s="161" t="s">
        <v>421</v>
      </c>
      <c r="J16" s="161" t="s">
        <v>421</v>
      </c>
    </row>
    <row r="17" spans="1:23" ht="23.1" customHeight="1" thickTop="1" thickBot="1">
      <c r="A17" s="639" t="s">
        <v>269</v>
      </c>
      <c r="B17" s="931">
        <f t="shared" ref="B17:F17" si="0">SUM(B5:B16)</f>
        <v>2152</v>
      </c>
      <c r="C17" s="931">
        <f t="shared" si="0"/>
        <v>1961</v>
      </c>
      <c r="D17" s="931">
        <f t="shared" si="0"/>
        <v>3945</v>
      </c>
      <c r="E17" s="932"/>
      <c r="F17" s="931">
        <f t="shared" si="0"/>
        <v>3109</v>
      </c>
      <c r="G17" s="927" t="s">
        <v>421</v>
      </c>
      <c r="H17" s="927" t="s">
        <v>421</v>
      </c>
      <c r="I17" s="927" t="s">
        <v>421</v>
      </c>
      <c r="J17" s="927" t="s">
        <v>421</v>
      </c>
      <c r="K17" s="286"/>
      <c r="L17" s="286"/>
    </row>
    <row r="18" spans="1:23" ht="8.25" customHeight="1" thickTop="1">
      <c r="A18" s="998"/>
      <c r="B18" s="998"/>
      <c r="C18" s="998"/>
      <c r="D18" s="998"/>
      <c r="E18" s="18"/>
      <c r="F18" s="18"/>
    </row>
    <row r="19" spans="1:23" ht="24" customHeight="1">
      <c r="A19" s="998" t="s">
        <v>745</v>
      </c>
      <c r="B19" s="998"/>
      <c r="C19" s="998"/>
      <c r="D19" s="998"/>
      <c r="E19" s="998"/>
      <c r="F19" s="998"/>
      <c r="G19" s="998"/>
      <c r="H19" s="998"/>
      <c r="I19" s="998"/>
    </row>
    <row r="20" spans="1:23" ht="19.5" customHeight="1">
      <c r="A20" s="998" t="s">
        <v>733</v>
      </c>
      <c r="B20" s="998"/>
      <c r="C20" s="998"/>
      <c r="D20" s="998"/>
      <c r="E20" s="998"/>
      <c r="F20" s="32"/>
    </row>
    <row r="21" spans="1:23" ht="3.75" customHeight="1">
      <c r="A21" s="211"/>
      <c r="B21" s="211"/>
      <c r="C21" s="211"/>
      <c r="D21" s="211"/>
      <c r="E21" s="211"/>
      <c r="F21" s="211"/>
    </row>
    <row r="22" spans="1:23" ht="18" customHeight="1">
      <c r="A22" s="963" t="s">
        <v>7</v>
      </c>
      <c r="B22" s="963"/>
      <c r="C22" s="963"/>
      <c r="D22" s="963"/>
      <c r="E22" s="963"/>
      <c r="F22" s="963"/>
      <c r="G22" s="963"/>
      <c r="H22" s="963"/>
      <c r="I22" s="963"/>
    </row>
    <row r="23" spans="1:23" ht="3.75" customHeight="1">
      <c r="E23" s="31"/>
      <c r="F23" s="31"/>
    </row>
    <row r="24" spans="1:23" ht="17.25" customHeight="1">
      <c r="E24" s="31"/>
      <c r="F24" s="31"/>
    </row>
    <row r="25" spans="1:23" ht="21.75" customHeight="1">
      <c r="A25" s="999" t="s">
        <v>287</v>
      </c>
      <c r="B25" s="999"/>
      <c r="C25" s="999"/>
      <c r="D25" s="160"/>
      <c r="E25" s="997"/>
      <c r="F25" s="997"/>
      <c r="G25" s="159"/>
      <c r="H25" s="159"/>
      <c r="I25" s="159"/>
      <c r="J25" s="63">
        <v>28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W25" s="12"/>
    </row>
    <row r="41" spans="1:10" ht="15" thickBot="1"/>
    <row r="42" spans="1:10" ht="15" thickTop="1">
      <c r="A42" s="255" t="s">
        <v>83</v>
      </c>
      <c r="B42" s="263" t="s">
        <v>84</v>
      </c>
      <c r="C42" s="263" t="s">
        <v>85</v>
      </c>
      <c r="D42" s="263" t="s">
        <v>53</v>
      </c>
      <c r="E42" s="263" t="s">
        <v>87</v>
      </c>
      <c r="F42" s="263" t="s">
        <v>312</v>
      </c>
      <c r="G42" s="279" t="s">
        <v>369</v>
      </c>
      <c r="H42" s="279" t="s">
        <v>371</v>
      </c>
      <c r="I42" s="279" t="s">
        <v>370</v>
      </c>
      <c r="J42" s="279" t="s">
        <v>313</v>
      </c>
    </row>
    <row r="43" spans="1:10">
      <c r="A43" s="902" t="s">
        <v>90</v>
      </c>
      <c r="B43" s="88">
        <v>23.69</v>
      </c>
      <c r="C43" s="88">
        <v>8.18</v>
      </c>
      <c r="D43" s="88">
        <v>16.07</v>
      </c>
      <c r="E43" s="822">
        <v>36.54</v>
      </c>
      <c r="F43" s="88">
        <v>35.229999999999997</v>
      </c>
      <c r="G43" s="825">
        <v>205.88</v>
      </c>
      <c r="H43" s="825">
        <v>43.09</v>
      </c>
      <c r="I43" s="825">
        <v>8.0500000000000007</v>
      </c>
      <c r="J43" s="88" t="s">
        <v>421</v>
      </c>
    </row>
    <row r="44" spans="1:10">
      <c r="A44" s="66" t="s">
        <v>91</v>
      </c>
      <c r="B44" s="78">
        <v>12.2</v>
      </c>
      <c r="C44" s="78">
        <v>3.98</v>
      </c>
      <c r="D44" s="78">
        <v>8.0399999999999991</v>
      </c>
      <c r="E44" s="823">
        <v>17.190000000000001</v>
      </c>
      <c r="F44" s="78">
        <v>16.96</v>
      </c>
      <c r="G44" s="825">
        <v>107.47</v>
      </c>
      <c r="H44" s="825">
        <v>20.8</v>
      </c>
      <c r="I44" s="825">
        <v>3.87</v>
      </c>
      <c r="J44" s="78" t="s">
        <v>421</v>
      </c>
    </row>
    <row r="45" spans="1:10">
      <c r="A45" s="66" t="s">
        <v>92</v>
      </c>
      <c r="B45" s="78">
        <v>6.96</v>
      </c>
      <c r="C45" s="78">
        <v>2.16</v>
      </c>
      <c r="D45" s="78">
        <v>4.91</v>
      </c>
      <c r="E45" s="823">
        <v>9.92</v>
      </c>
      <c r="F45" s="78">
        <v>9.49</v>
      </c>
      <c r="G45" s="825">
        <v>62.09</v>
      </c>
      <c r="H45" s="825">
        <v>12.43</v>
      </c>
      <c r="I45" s="825">
        <v>2.13</v>
      </c>
      <c r="J45" s="78" t="s">
        <v>421</v>
      </c>
    </row>
    <row r="46" spans="1:10">
      <c r="A46" s="66" t="s">
        <v>93</v>
      </c>
      <c r="B46" s="78">
        <v>6.38</v>
      </c>
      <c r="C46" s="78">
        <v>2.0699999999999998</v>
      </c>
      <c r="D46" s="78">
        <v>5.07</v>
      </c>
      <c r="E46" s="823">
        <v>11.01</v>
      </c>
      <c r="F46" s="78">
        <v>8.82</v>
      </c>
      <c r="G46" s="825">
        <v>58.07</v>
      </c>
      <c r="H46" s="825">
        <v>7.35</v>
      </c>
      <c r="I46" s="825">
        <v>2.38</v>
      </c>
      <c r="J46" s="78" t="s">
        <v>421</v>
      </c>
    </row>
    <row r="47" spans="1:10">
      <c r="A47" s="66" t="s">
        <v>20</v>
      </c>
      <c r="B47" s="78">
        <v>7.87</v>
      </c>
      <c r="C47" s="78">
        <v>2.81</v>
      </c>
      <c r="D47" s="78">
        <v>8</v>
      </c>
      <c r="E47" s="823">
        <v>17.91</v>
      </c>
      <c r="F47" s="78">
        <v>12.23</v>
      </c>
      <c r="G47" s="825">
        <v>90.55</v>
      </c>
      <c r="H47" s="825">
        <v>18.04</v>
      </c>
      <c r="I47" s="825">
        <v>3.66</v>
      </c>
      <c r="J47" s="78" t="s">
        <v>421</v>
      </c>
    </row>
    <row r="48" spans="1:10">
      <c r="A48" s="66" t="s">
        <v>40</v>
      </c>
      <c r="B48" s="78">
        <v>13.96</v>
      </c>
      <c r="C48" s="78">
        <v>5.72</v>
      </c>
      <c r="D48" s="78">
        <v>16.28</v>
      </c>
      <c r="E48" s="823">
        <v>32.130000000000003</v>
      </c>
      <c r="F48" s="78">
        <v>20.66</v>
      </c>
      <c r="G48" s="825">
        <v>156.81</v>
      </c>
      <c r="H48" s="825">
        <v>33.18</v>
      </c>
      <c r="I48" s="825">
        <v>6.91</v>
      </c>
      <c r="J48" s="78" t="s">
        <v>421</v>
      </c>
    </row>
    <row r="49" spans="1:10">
      <c r="A49" s="66" t="s">
        <v>22</v>
      </c>
      <c r="B49" s="78">
        <v>21.53</v>
      </c>
      <c r="C49" s="78">
        <v>9.5299999999999994</v>
      </c>
      <c r="D49" s="78">
        <v>25.72</v>
      </c>
      <c r="E49" s="823">
        <v>45.02</v>
      </c>
      <c r="F49" s="78">
        <v>29.42</v>
      </c>
      <c r="G49" s="825">
        <v>223.34</v>
      </c>
      <c r="H49" s="825">
        <v>41.5</v>
      </c>
      <c r="I49" s="825">
        <v>10.4</v>
      </c>
      <c r="J49" s="78" t="s">
        <v>421</v>
      </c>
    </row>
    <row r="50" spans="1:10">
      <c r="A50" s="66" t="s">
        <v>23</v>
      </c>
      <c r="B50" s="78">
        <v>34.99</v>
      </c>
      <c r="C50" s="78">
        <v>17.260000000000002</v>
      </c>
      <c r="D50" s="78">
        <v>41.33</v>
      </c>
      <c r="E50" s="823">
        <v>67.28</v>
      </c>
      <c r="F50" s="78">
        <v>42.43</v>
      </c>
      <c r="G50" s="825">
        <v>326.83999999999997</v>
      </c>
      <c r="H50" s="825">
        <v>56.63</v>
      </c>
      <c r="I50" s="825">
        <v>15.29</v>
      </c>
      <c r="J50" s="78" t="s">
        <v>421</v>
      </c>
    </row>
    <row r="51" spans="1:10">
      <c r="A51" s="66" t="s">
        <v>24</v>
      </c>
      <c r="B51" s="78">
        <v>46.71</v>
      </c>
      <c r="C51" s="78">
        <v>21.77</v>
      </c>
      <c r="D51" s="78">
        <v>48.95</v>
      </c>
      <c r="E51" s="823">
        <v>85.39</v>
      </c>
      <c r="F51" s="78">
        <v>51.66</v>
      </c>
      <c r="G51" s="825">
        <v>405.59</v>
      </c>
      <c r="H51" s="825">
        <v>70.77</v>
      </c>
      <c r="I51" s="825">
        <v>18.440000000000001</v>
      </c>
      <c r="J51" s="78" t="s">
        <v>421</v>
      </c>
    </row>
    <row r="52" spans="1:10">
      <c r="A52" s="66" t="s">
        <v>25</v>
      </c>
      <c r="B52" s="78">
        <v>53.42</v>
      </c>
      <c r="C52" s="78">
        <v>20.83</v>
      </c>
      <c r="D52" s="78">
        <v>52.25</v>
      </c>
      <c r="E52" s="823">
        <v>90.26</v>
      </c>
      <c r="F52" s="78">
        <v>56.08</v>
      </c>
      <c r="G52" s="825">
        <v>446.78</v>
      </c>
      <c r="H52" s="825">
        <v>80.02</v>
      </c>
      <c r="I52" s="825">
        <v>20.399999999999999</v>
      </c>
      <c r="J52" s="78" t="s">
        <v>421</v>
      </c>
    </row>
    <row r="53" spans="1:10">
      <c r="A53" s="66" t="s">
        <v>41</v>
      </c>
      <c r="B53" s="78">
        <v>46.21</v>
      </c>
      <c r="C53" s="78">
        <v>16.850000000000001</v>
      </c>
      <c r="D53" s="78">
        <v>41.75</v>
      </c>
      <c r="E53" s="823">
        <v>95.77</v>
      </c>
      <c r="F53" s="78">
        <v>50.65</v>
      </c>
      <c r="G53" s="825">
        <v>402</v>
      </c>
      <c r="H53" s="825">
        <v>71.760000000000005</v>
      </c>
      <c r="I53" s="825">
        <v>17.55</v>
      </c>
      <c r="J53" s="78" t="s">
        <v>421</v>
      </c>
    </row>
    <row r="54" spans="1:10" ht="15" thickBot="1">
      <c r="A54" s="98" t="s">
        <v>27</v>
      </c>
      <c r="B54" s="150">
        <v>33.369999999999997</v>
      </c>
      <c r="C54" s="150">
        <v>11.37</v>
      </c>
      <c r="D54" s="150">
        <v>26.9</v>
      </c>
      <c r="E54" s="824">
        <v>46.08</v>
      </c>
      <c r="F54" s="150">
        <v>33.380000000000003</v>
      </c>
      <c r="G54" s="826">
        <v>291.8</v>
      </c>
      <c r="H54" s="826">
        <v>51.75</v>
      </c>
      <c r="I54" s="826">
        <v>11.55</v>
      </c>
      <c r="J54" s="150" t="s">
        <v>421</v>
      </c>
    </row>
    <row r="55" spans="1:10" ht="15.75" thickTop="1" thickBot="1">
      <c r="A55" s="639" t="s">
        <v>269</v>
      </c>
      <c r="B55" s="820">
        <f t="shared" ref="B55:I55" si="1">SUM(B43:B54)</f>
        <v>307.29000000000002</v>
      </c>
      <c r="C55" s="820">
        <f t="shared" si="1"/>
        <v>122.53</v>
      </c>
      <c r="D55" s="820">
        <f t="shared" si="1"/>
        <v>295.27</v>
      </c>
      <c r="E55" s="821">
        <f t="shared" si="1"/>
        <v>554.5</v>
      </c>
      <c r="F55" s="820">
        <f t="shared" si="1"/>
        <v>367.01</v>
      </c>
      <c r="G55" s="820">
        <f t="shared" si="1"/>
        <v>2777.2200000000003</v>
      </c>
      <c r="H55" s="820">
        <f t="shared" si="1"/>
        <v>507.31999999999994</v>
      </c>
      <c r="I55" s="827">
        <f t="shared" si="1"/>
        <v>120.63</v>
      </c>
      <c r="J55" s="640" t="s">
        <v>421</v>
      </c>
    </row>
    <row r="56" spans="1:10" ht="15" thickTop="1"/>
  </sheetData>
  <mergeCells count="7">
    <mergeCell ref="A1:J1"/>
    <mergeCell ref="E25:F25"/>
    <mergeCell ref="A18:D18"/>
    <mergeCell ref="A20:E20"/>
    <mergeCell ref="A25:C25"/>
    <mergeCell ref="A22:I22"/>
    <mergeCell ref="A19:I19"/>
  </mergeCells>
  <printOptions horizontalCentered="1"/>
  <pageMargins left="0.7" right="0.7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S27"/>
  <sheetViews>
    <sheetView rightToLeft="1" view="pageBreakPreview" topLeftCell="A5" zoomScale="120" zoomScaleSheetLayoutView="120" workbookViewId="0">
      <selection activeCell="A24" sqref="A24:G24"/>
    </sheetView>
  </sheetViews>
  <sheetFormatPr defaultColWidth="13.875" defaultRowHeight="21"/>
  <cols>
    <col min="1" max="1" width="22.25" style="33" customWidth="1"/>
    <col min="2" max="2" width="15.625" style="33" customWidth="1"/>
    <col min="3" max="4" width="15.625" customWidth="1"/>
    <col min="5" max="5" width="0.875" customWidth="1"/>
    <col min="6" max="6" width="16.125" customWidth="1"/>
    <col min="7" max="7" width="15.625" customWidth="1"/>
  </cols>
  <sheetData>
    <row r="1" spans="1:8" ht="20.25" customHeight="1">
      <c r="A1" s="1002" t="s">
        <v>464</v>
      </c>
      <c r="B1" s="1002"/>
      <c r="C1" s="1002"/>
      <c r="D1" s="1002"/>
      <c r="E1" s="1002"/>
      <c r="F1" s="1002"/>
      <c r="G1" s="1002"/>
    </row>
    <row r="2" spans="1:8" s="224" customFormat="1" ht="20.25" customHeight="1">
      <c r="A2" s="948" t="s">
        <v>314</v>
      </c>
      <c r="B2" s="948"/>
      <c r="C2" s="948"/>
      <c r="D2" s="948"/>
      <c r="E2" s="948"/>
      <c r="F2" s="948"/>
      <c r="G2" s="948"/>
    </row>
    <row r="3" spans="1:8" ht="5.25" customHeight="1" thickBot="1"/>
    <row r="4" spans="1:8" s="34" customFormat="1" ht="31.5" customHeight="1" thickTop="1">
      <c r="A4" s="984" t="s">
        <v>94</v>
      </c>
      <c r="B4" s="984" t="s">
        <v>95</v>
      </c>
      <c r="C4" s="988" t="s">
        <v>417</v>
      </c>
      <c r="D4" s="988"/>
      <c r="E4" s="265"/>
      <c r="F4" s="988" t="s">
        <v>465</v>
      </c>
      <c r="G4" s="988"/>
    </row>
    <row r="5" spans="1:8" s="34" customFormat="1" ht="29.25" customHeight="1">
      <c r="A5" s="985"/>
      <c r="B5" s="985"/>
      <c r="C5" s="267" t="s">
        <v>96</v>
      </c>
      <c r="D5" s="267" t="s">
        <v>97</v>
      </c>
      <c r="E5" s="266"/>
      <c r="F5" s="267" t="s">
        <v>96</v>
      </c>
      <c r="G5" s="267" t="s">
        <v>97</v>
      </c>
    </row>
    <row r="6" spans="1:8" s="35" customFormat="1" ht="20.25" customHeight="1">
      <c r="A6" s="1003" t="s">
        <v>98</v>
      </c>
      <c r="B6" s="104" t="s">
        <v>53</v>
      </c>
      <c r="C6" s="110">
        <v>307.18</v>
      </c>
      <c r="D6" s="110">
        <v>4.3470000000000004</v>
      </c>
      <c r="E6" s="109"/>
      <c r="F6" s="110">
        <v>307.07</v>
      </c>
      <c r="G6" s="110">
        <v>4.3220000000000001</v>
      </c>
    </row>
    <row r="7" spans="1:8" s="35" customFormat="1" ht="20.25" customHeight="1">
      <c r="A7" s="1004"/>
      <c r="B7" s="105" t="s">
        <v>87</v>
      </c>
      <c r="C7" s="112">
        <v>136.5</v>
      </c>
      <c r="D7" s="112">
        <v>4.1689999999999996</v>
      </c>
      <c r="E7" s="111"/>
      <c r="F7" s="112">
        <v>130.80000000000001</v>
      </c>
      <c r="G7" s="112">
        <v>2.68</v>
      </c>
    </row>
    <row r="8" spans="1:8" s="35" customFormat="1" ht="20.25" customHeight="1">
      <c r="A8" s="1004"/>
      <c r="B8" s="105" t="s">
        <v>86</v>
      </c>
      <c r="C8" s="112">
        <v>44.92</v>
      </c>
      <c r="D8" s="112">
        <v>43.478000000000002</v>
      </c>
      <c r="E8" s="111"/>
      <c r="F8" s="112">
        <v>43.6</v>
      </c>
      <c r="G8" s="112">
        <v>41.338999999999999</v>
      </c>
    </row>
    <row r="9" spans="1:8" s="35" customFormat="1" ht="20.25" customHeight="1">
      <c r="A9" s="1004"/>
      <c r="B9" s="106" t="s">
        <v>88</v>
      </c>
      <c r="C9" s="114">
        <v>45.34</v>
      </c>
      <c r="D9" s="114">
        <v>1.3049999999999999</v>
      </c>
      <c r="E9" s="113"/>
      <c r="F9" s="114">
        <v>43.25</v>
      </c>
      <c r="G9" s="114">
        <v>0.79800000000000004</v>
      </c>
    </row>
    <row r="10" spans="1:8" s="35" customFormat="1" ht="20.25" customHeight="1">
      <c r="A10" s="1005"/>
      <c r="B10" s="108" t="s">
        <v>253</v>
      </c>
      <c r="C10" s="287"/>
      <c r="D10" s="116">
        <v>53.31</v>
      </c>
      <c r="E10" s="115"/>
      <c r="F10" s="287"/>
      <c r="G10" s="116">
        <f>SUM(G6:G9)</f>
        <v>49.139000000000003</v>
      </c>
      <c r="H10" s="899">
        <f>D10+D11+D12+D15</f>
        <v>61.215000000000003</v>
      </c>
    </row>
    <row r="11" spans="1:8" s="35" customFormat="1" ht="20.25" customHeight="1">
      <c r="A11" s="212" t="s">
        <v>277</v>
      </c>
      <c r="B11" s="107" t="s">
        <v>84</v>
      </c>
      <c r="C11" s="119">
        <v>500.05</v>
      </c>
      <c r="D11" s="119">
        <v>4.0339999999999998</v>
      </c>
      <c r="E11" s="118"/>
      <c r="F11" s="119">
        <v>499.07</v>
      </c>
      <c r="G11" s="119">
        <v>3.8170000000000002</v>
      </c>
    </row>
    <row r="12" spans="1:8" s="35" customFormat="1" ht="20.25" customHeight="1">
      <c r="A12" s="108" t="s">
        <v>99</v>
      </c>
      <c r="B12" s="108" t="s">
        <v>100</v>
      </c>
      <c r="C12" s="121">
        <v>115.22</v>
      </c>
      <c r="D12" s="116">
        <v>0.311</v>
      </c>
      <c r="E12" s="120"/>
      <c r="F12" s="121">
        <v>113.94</v>
      </c>
      <c r="G12" s="116">
        <v>0.27</v>
      </c>
    </row>
    <row r="13" spans="1:8" s="35" customFormat="1" ht="20.25" customHeight="1">
      <c r="A13" s="1003" t="s">
        <v>243</v>
      </c>
      <c r="B13" s="104" t="s">
        <v>85</v>
      </c>
      <c r="C13" s="110">
        <v>472.58</v>
      </c>
      <c r="D13" s="110">
        <v>1.5069999999999999</v>
      </c>
      <c r="E13" s="109"/>
      <c r="F13" s="110">
        <v>472.48</v>
      </c>
      <c r="G13" s="110">
        <v>1.5</v>
      </c>
    </row>
    <row r="14" spans="1:8" s="35" customFormat="1" ht="20.25" customHeight="1">
      <c r="A14" s="1004"/>
      <c r="B14" s="106" t="s">
        <v>66</v>
      </c>
      <c r="C14" s="114">
        <v>102.88</v>
      </c>
      <c r="D14" s="114">
        <v>2.0529999999999999</v>
      </c>
      <c r="E14" s="122"/>
      <c r="F14" s="114">
        <v>98.26</v>
      </c>
      <c r="G14" s="114">
        <v>0.98</v>
      </c>
    </row>
    <row r="15" spans="1:8" s="35" customFormat="1" ht="21.75" customHeight="1">
      <c r="A15" s="1005"/>
      <c r="B15" s="108" t="s">
        <v>253</v>
      </c>
      <c r="C15" s="287"/>
      <c r="D15" s="116">
        <f>SUM(D13:D14)</f>
        <v>3.5599999999999996</v>
      </c>
      <c r="E15" s="115"/>
      <c r="F15" s="287"/>
      <c r="G15" s="116">
        <f>SUM(G13:G14)</f>
        <v>2.48</v>
      </c>
    </row>
    <row r="16" spans="1:8" s="35" customFormat="1" ht="21.75" customHeight="1">
      <c r="A16" s="977" t="s">
        <v>457</v>
      </c>
      <c r="B16" s="977"/>
      <c r="C16" s="287"/>
      <c r="D16" s="119">
        <f>D10+D11+D12+D15</f>
        <v>61.215000000000003</v>
      </c>
      <c r="E16" s="118"/>
      <c r="F16" s="287"/>
      <c r="G16" s="119">
        <f>G10+G11+G12+G15</f>
        <v>55.706000000000003</v>
      </c>
    </row>
    <row r="17" spans="1:19" s="36" customFormat="1" ht="21.75" customHeight="1" thickBot="1">
      <c r="A17" s="288"/>
      <c r="B17" s="124" t="s">
        <v>89</v>
      </c>
      <c r="C17" s="246">
        <v>20.41</v>
      </c>
      <c r="D17" s="246">
        <v>0.81</v>
      </c>
      <c r="E17" s="123"/>
      <c r="F17" s="246">
        <v>20.43</v>
      </c>
      <c r="G17" s="246">
        <v>0.82</v>
      </c>
    </row>
    <row r="18" spans="1:19" s="36" customFormat="1" ht="7.5" customHeight="1" thickTop="1">
      <c r="A18" s="174"/>
      <c r="B18" s="174"/>
      <c r="C18" s="117"/>
      <c r="D18" s="117"/>
      <c r="E18" s="117"/>
      <c r="F18" s="148"/>
      <c r="G18" s="173"/>
    </row>
    <row r="19" spans="1:19" s="35" customFormat="1" ht="19.5" customHeight="1">
      <c r="A19" s="1001" t="s">
        <v>750</v>
      </c>
      <c r="B19" s="1001"/>
      <c r="C19" s="172"/>
      <c r="D19" s="172"/>
      <c r="E19" s="172"/>
      <c r="F19" s="37"/>
      <c r="G19" s="37"/>
    </row>
    <row r="20" spans="1:19" s="35" customFormat="1" ht="19.5" customHeight="1">
      <c r="A20" s="1001" t="s">
        <v>7</v>
      </c>
      <c r="B20" s="1001"/>
      <c r="C20" s="1001"/>
      <c r="D20" s="1001"/>
      <c r="E20" s="1001"/>
      <c r="F20" s="1001"/>
      <c r="G20" s="74"/>
    </row>
    <row r="21" spans="1:19" s="35" customFormat="1" ht="19.5" customHeight="1">
      <c r="G21" s="37"/>
    </row>
    <row r="22" spans="1:19" s="35" customFormat="1" ht="19.5" customHeight="1">
      <c r="A22" s="73"/>
      <c r="B22" s="73"/>
      <c r="C22" s="73"/>
      <c r="D22" s="73"/>
      <c r="E22" s="169"/>
      <c r="F22" s="73"/>
      <c r="G22" s="74"/>
    </row>
    <row r="23" spans="1:19" s="35" customFormat="1" ht="16.5" customHeight="1">
      <c r="A23" s="1000" t="s">
        <v>298</v>
      </c>
      <c r="B23" s="1000"/>
      <c r="C23" s="1000"/>
      <c r="D23" s="1000"/>
      <c r="E23" s="1000"/>
      <c r="F23" s="1000"/>
      <c r="G23" s="1000"/>
    </row>
    <row r="24" spans="1:19" ht="27.75" customHeight="1">
      <c r="A24" s="1000"/>
      <c r="B24" s="1000"/>
      <c r="C24" s="1000"/>
      <c r="D24" s="1000"/>
      <c r="E24" s="1000"/>
      <c r="F24" s="1000"/>
      <c r="G24" s="1000"/>
    </row>
    <row r="25" spans="1:19" ht="13.5" customHeight="1">
      <c r="B25" s="38"/>
      <c r="C25" s="39"/>
      <c r="D25" s="16"/>
      <c r="E25" s="170"/>
      <c r="F25" s="39"/>
      <c r="G25" s="16"/>
    </row>
    <row r="26" spans="1:19" ht="23.25" customHeight="1">
      <c r="A26" s="999" t="s">
        <v>287</v>
      </c>
      <c r="B26" s="999"/>
      <c r="C26" s="982"/>
      <c r="D26" s="982"/>
      <c r="E26" s="168"/>
      <c r="F26" s="63"/>
      <c r="G26" s="63">
        <v>29</v>
      </c>
      <c r="H26" s="9"/>
      <c r="I26" s="9"/>
      <c r="J26" s="9"/>
      <c r="K26" s="9"/>
      <c r="L26" s="9"/>
      <c r="M26" s="9"/>
      <c r="N26" s="9"/>
      <c r="O26" s="9"/>
      <c r="P26" s="9"/>
      <c r="Q26" s="9"/>
      <c r="S26" s="12"/>
    </row>
    <row r="27" spans="1:19">
      <c r="A27" s="167"/>
      <c r="B27" s="167"/>
      <c r="C27" s="18"/>
      <c r="D27" s="18"/>
      <c r="E27" s="18"/>
      <c r="F27" s="18"/>
      <c r="G27" s="18"/>
    </row>
  </sheetData>
  <mergeCells count="15">
    <mergeCell ref="A16:B16"/>
    <mergeCell ref="A1:G1"/>
    <mergeCell ref="A2:G2"/>
    <mergeCell ref="A4:A5"/>
    <mergeCell ref="B4:B5"/>
    <mergeCell ref="C4:D4"/>
    <mergeCell ref="F4:G4"/>
    <mergeCell ref="A6:A10"/>
    <mergeCell ref="A13:A15"/>
    <mergeCell ref="C26:D26"/>
    <mergeCell ref="A24:G24"/>
    <mergeCell ref="A19:B19"/>
    <mergeCell ref="A20:F20"/>
    <mergeCell ref="A23:G23"/>
    <mergeCell ref="A26:B26"/>
  </mergeCells>
  <printOptions horizontalCentered="1"/>
  <pageMargins left="0.7" right="0.7" top="0.5" bottom="0.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Q65"/>
  <sheetViews>
    <sheetView rightToLeft="1" view="pageBreakPreview" topLeftCell="A52" zoomScale="110" zoomScaleSheetLayoutView="110" workbookViewId="0">
      <selection activeCell="D46" sqref="D46:D47"/>
    </sheetView>
  </sheetViews>
  <sheetFormatPr defaultRowHeight="14.25"/>
  <cols>
    <col min="1" max="1" width="11.75" customWidth="1"/>
    <col min="2" max="2" width="28.375" customWidth="1"/>
    <col min="3" max="3" width="19.125" customWidth="1"/>
    <col min="4" max="4" width="19.75" customWidth="1"/>
    <col min="5" max="5" width="19.125" customWidth="1"/>
    <col min="6" max="6" width="21.75" customWidth="1"/>
  </cols>
  <sheetData>
    <row r="1" spans="1:6" ht="42" customHeight="1">
      <c r="A1" s="996" t="s">
        <v>736</v>
      </c>
      <c r="B1" s="996"/>
      <c r="C1" s="996"/>
      <c r="D1" s="996"/>
      <c r="E1" s="996"/>
      <c r="F1" s="996"/>
    </row>
    <row r="2" spans="1:6" ht="25.5" customHeight="1" thickBot="1">
      <c r="A2" s="1011" t="s">
        <v>318</v>
      </c>
      <c r="B2" s="1011"/>
      <c r="C2" s="1011"/>
      <c r="D2" s="1011"/>
      <c r="E2" s="1011"/>
      <c r="F2" s="1011"/>
    </row>
    <row r="3" spans="1:6" ht="33.75" customHeight="1" thickTop="1">
      <c r="A3" s="1012" t="s">
        <v>297</v>
      </c>
      <c r="B3" s="1012"/>
      <c r="C3" s="1009" t="s">
        <v>708</v>
      </c>
      <c r="D3" s="1009" t="s">
        <v>709</v>
      </c>
      <c r="E3" s="1009" t="s">
        <v>710</v>
      </c>
      <c r="F3" s="1009" t="s">
        <v>711</v>
      </c>
    </row>
    <row r="4" spans="1:6" ht="15.75" customHeight="1">
      <c r="A4" s="1013"/>
      <c r="B4" s="1013"/>
      <c r="C4" s="1010"/>
      <c r="D4" s="1010" t="s">
        <v>101</v>
      </c>
      <c r="E4" s="1010" t="s">
        <v>101</v>
      </c>
      <c r="F4" s="1010" t="s">
        <v>101</v>
      </c>
    </row>
    <row r="5" spans="1:6" ht="47.25" customHeight="1">
      <c r="A5" s="1007" t="s">
        <v>675</v>
      </c>
      <c r="B5" s="1007"/>
      <c r="C5" s="125">
        <v>121.87</v>
      </c>
      <c r="D5" s="125">
        <v>359.78</v>
      </c>
      <c r="E5" s="535">
        <v>280.911</v>
      </c>
      <c r="F5" s="125">
        <v>664.57</v>
      </c>
    </row>
    <row r="6" spans="1:6" ht="28.5" customHeight="1">
      <c r="A6" s="1007" t="s">
        <v>425</v>
      </c>
      <c r="B6" s="1007"/>
      <c r="C6" s="812">
        <v>450.9</v>
      </c>
      <c r="D6" s="812">
        <v>1383.66</v>
      </c>
      <c r="E6" s="812">
        <v>909.73</v>
      </c>
      <c r="F6" s="812">
        <v>1963.83</v>
      </c>
    </row>
    <row r="7" spans="1:6" ht="28.5" customHeight="1">
      <c r="A7" s="1008"/>
      <c r="B7" s="1008"/>
      <c r="C7" s="811">
        <v>-269.98</v>
      </c>
      <c r="D7" s="811">
        <v>-284.58</v>
      </c>
      <c r="E7" s="811">
        <v>-223.84</v>
      </c>
      <c r="F7" s="811">
        <v>-195.5</v>
      </c>
    </row>
    <row r="8" spans="1:6" ht="28.5" customHeight="1">
      <c r="A8" s="1017" t="s">
        <v>316</v>
      </c>
      <c r="B8" s="1017"/>
      <c r="C8" s="812">
        <v>594.04</v>
      </c>
      <c r="D8" s="810">
        <v>988.95500000000004</v>
      </c>
      <c r="E8" s="812">
        <v>538.05999999999995</v>
      </c>
      <c r="F8" s="812">
        <v>2206.7199999999998</v>
      </c>
    </row>
    <row r="9" spans="1:6" ht="28.5" customHeight="1">
      <c r="A9" s="1018"/>
      <c r="B9" s="1018"/>
      <c r="C9" s="811">
        <v>-387.43</v>
      </c>
      <c r="D9" s="811">
        <v>-174.87</v>
      </c>
      <c r="E9" s="811">
        <v>-91.54</v>
      </c>
      <c r="F9" s="811">
        <v>-232.05</v>
      </c>
    </row>
    <row r="10" spans="1:6" ht="28.5" customHeight="1">
      <c r="A10" s="1006" t="s">
        <v>317</v>
      </c>
      <c r="B10" s="1006"/>
      <c r="C10" s="810">
        <v>652.221</v>
      </c>
      <c r="D10" s="810">
        <v>873.51099999999997</v>
      </c>
      <c r="E10" s="810">
        <v>579.67700000000002</v>
      </c>
      <c r="F10" s="810">
        <v>2248.8870000000002</v>
      </c>
    </row>
    <row r="11" spans="1:6" ht="28.5" customHeight="1">
      <c r="A11" s="1006"/>
      <c r="B11" s="1006"/>
      <c r="C11" s="811">
        <v>-435.17</v>
      </c>
      <c r="D11" s="811">
        <v>-142.79</v>
      </c>
      <c r="E11" s="811">
        <v>-106.35</v>
      </c>
      <c r="F11" s="811">
        <v>-238.39</v>
      </c>
    </row>
    <row r="12" spans="1:6" ht="28.5" customHeight="1">
      <c r="A12" s="1014" t="s">
        <v>426</v>
      </c>
      <c r="B12" s="1014"/>
      <c r="C12" s="810">
        <v>658.05499999999995</v>
      </c>
      <c r="D12" s="812">
        <v>971.34</v>
      </c>
      <c r="E12" s="812">
        <v>570.44000000000005</v>
      </c>
      <c r="F12" s="810">
        <v>2245.8870000000002</v>
      </c>
    </row>
    <row r="13" spans="1:6" ht="28.5" customHeight="1" thickBot="1">
      <c r="A13" s="1015"/>
      <c r="B13" s="1015"/>
      <c r="C13" s="813">
        <v>-439.96</v>
      </c>
      <c r="D13" s="813">
        <v>-169.98</v>
      </c>
      <c r="E13" s="813">
        <v>-103.06</v>
      </c>
      <c r="F13" s="813">
        <v>-237.94</v>
      </c>
    </row>
    <row r="14" spans="1:6" ht="16.5" customHeight="1" thickTop="1">
      <c r="A14" s="1016"/>
      <c r="B14" s="1016"/>
      <c r="C14" s="41"/>
      <c r="D14" s="1019"/>
      <c r="E14" s="1019"/>
      <c r="F14" s="44"/>
    </row>
    <row r="15" spans="1:6" ht="19.5" customHeight="1">
      <c r="A15" s="956" t="s">
        <v>631</v>
      </c>
      <c r="B15" s="956"/>
      <c r="C15" s="956"/>
      <c r="D15" s="956"/>
      <c r="E15" s="956"/>
      <c r="F15" s="956"/>
    </row>
    <row r="16" spans="1:6" ht="19.5" customHeight="1">
      <c r="A16" s="761"/>
      <c r="B16" s="761"/>
      <c r="C16" s="761"/>
      <c r="D16" s="761"/>
      <c r="E16" s="761"/>
      <c r="F16" s="761"/>
    </row>
    <row r="17" spans="1:17" ht="19.5" customHeight="1">
      <c r="A17" s="761"/>
      <c r="B17" s="761"/>
      <c r="C17" s="761"/>
      <c r="D17" s="761"/>
      <c r="E17" s="761"/>
      <c r="F17" s="761"/>
    </row>
    <row r="18" spans="1:17" ht="19.5" customHeight="1">
      <c r="A18" s="761"/>
      <c r="B18" s="761"/>
      <c r="C18" s="761"/>
      <c r="D18" s="761"/>
      <c r="E18" s="761"/>
      <c r="F18" s="761"/>
    </row>
    <row r="19" spans="1:17" ht="19.5" customHeight="1">
      <c r="A19" s="761"/>
      <c r="B19" s="761"/>
      <c r="C19" s="761"/>
      <c r="D19" s="761"/>
      <c r="E19" s="761"/>
      <c r="F19" s="761"/>
    </row>
    <row r="20" spans="1:17" ht="20.25" customHeight="1">
      <c r="A20" s="999" t="s">
        <v>287</v>
      </c>
      <c r="B20" s="999"/>
      <c r="C20" s="982"/>
      <c r="D20" s="982"/>
      <c r="E20" s="982"/>
      <c r="F20" s="153">
        <v>30</v>
      </c>
      <c r="G20" s="9"/>
      <c r="H20" s="9"/>
      <c r="I20" s="9"/>
      <c r="J20" s="9"/>
      <c r="K20" s="9"/>
      <c r="L20" s="9"/>
      <c r="M20" s="9"/>
      <c r="N20" s="9"/>
      <c r="O20" s="9"/>
      <c r="Q20" s="12"/>
    </row>
    <row r="21" spans="1:17" ht="34.5" customHeight="1">
      <c r="A21" s="996" t="s">
        <v>737</v>
      </c>
      <c r="B21" s="996"/>
      <c r="C21" s="996"/>
      <c r="D21" s="996"/>
      <c r="E21" s="996"/>
      <c r="F21" s="996"/>
    </row>
    <row r="22" spans="1:17" s="224" customFormat="1" ht="20.25" customHeight="1" thickBot="1">
      <c r="A22" s="1011" t="s">
        <v>315</v>
      </c>
      <c r="B22" s="1011"/>
      <c r="C22" s="1011"/>
      <c r="D22" s="1011"/>
      <c r="E22" s="1011"/>
      <c r="F22" s="1011"/>
    </row>
    <row r="23" spans="1:17" ht="37.5" customHeight="1" thickTop="1">
      <c r="A23" s="1012" t="s">
        <v>297</v>
      </c>
      <c r="B23" s="1012"/>
      <c r="C23" s="1009" t="s">
        <v>708</v>
      </c>
      <c r="D23" s="1009" t="s">
        <v>709</v>
      </c>
      <c r="E23" s="1009" t="s">
        <v>710</v>
      </c>
      <c r="F23" s="1009" t="s">
        <v>711</v>
      </c>
    </row>
    <row r="24" spans="1:17" ht="30.75" customHeight="1">
      <c r="A24" s="1013"/>
      <c r="B24" s="1013"/>
      <c r="C24" s="1010"/>
      <c r="D24" s="1010" t="s">
        <v>101</v>
      </c>
      <c r="E24" s="1010" t="s">
        <v>101</v>
      </c>
      <c r="F24" s="1010" t="s">
        <v>101</v>
      </c>
    </row>
    <row r="25" spans="1:17" ht="28.5" customHeight="1">
      <c r="A25" s="1007" t="s">
        <v>632</v>
      </c>
      <c r="B25" s="1007"/>
      <c r="C25" s="1020">
        <v>76.55</v>
      </c>
      <c r="D25" s="1020">
        <v>354.94</v>
      </c>
      <c r="E25" s="1020">
        <v>245.83</v>
      </c>
      <c r="F25" s="1022">
        <v>620.66700000000003</v>
      </c>
    </row>
    <row r="26" spans="1:17" ht="28.5" customHeight="1">
      <c r="A26" s="1008"/>
      <c r="B26" s="1008"/>
      <c r="C26" s="1021"/>
      <c r="D26" s="1021"/>
      <c r="E26" s="1021"/>
      <c r="F26" s="1023"/>
    </row>
    <row r="27" spans="1:17" ht="28.5" customHeight="1">
      <c r="A27" s="1007" t="s">
        <v>633</v>
      </c>
      <c r="B27" s="1007"/>
      <c r="C27" s="905">
        <v>71.44</v>
      </c>
      <c r="D27" s="812">
        <v>381.37</v>
      </c>
      <c r="E27" s="812">
        <v>228.13</v>
      </c>
      <c r="F27" s="812">
        <v>616.37</v>
      </c>
    </row>
    <row r="28" spans="1:17" ht="28.5" customHeight="1">
      <c r="A28" s="1008"/>
      <c r="B28" s="1008"/>
      <c r="C28" s="906" t="s">
        <v>634</v>
      </c>
      <c r="D28" s="907">
        <v>-7.4</v>
      </c>
      <c r="E28" s="906" t="s">
        <v>635</v>
      </c>
      <c r="F28" s="906" t="s">
        <v>636</v>
      </c>
    </row>
    <row r="29" spans="1:17" ht="28.5" customHeight="1">
      <c r="A29" s="1007" t="s">
        <v>637</v>
      </c>
      <c r="B29" s="1007"/>
      <c r="C29" s="812">
        <v>145.58000000000001</v>
      </c>
      <c r="D29" s="810">
        <v>291.68900000000002</v>
      </c>
      <c r="E29" s="810">
        <v>225.71199999999999</v>
      </c>
      <c r="F29" s="812">
        <v>771.27</v>
      </c>
    </row>
    <row r="30" spans="1:17" ht="28.5" customHeight="1">
      <c r="A30" s="1008"/>
      <c r="B30" s="1008"/>
      <c r="C30" s="811">
        <v>-90.17</v>
      </c>
      <c r="D30" s="906" t="s">
        <v>638</v>
      </c>
      <c r="E30" s="906" t="s">
        <v>639</v>
      </c>
      <c r="F30" s="811">
        <v>-24.26</v>
      </c>
    </row>
    <row r="31" spans="1:17" ht="28.5" customHeight="1">
      <c r="A31" s="1007" t="s">
        <v>640</v>
      </c>
      <c r="B31" s="1007"/>
      <c r="C31" s="812">
        <v>427.11</v>
      </c>
      <c r="D31" s="812">
        <v>601.86</v>
      </c>
      <c r="E31" s="812">
        <v>266.88</v>
      </c>
      <c r="F31" s="810">
        <v>1532.578</v>
      </c>
    </row>
    <row r="32" spans="1:17" ht="28.5" customHeight="1" thickBot="1">
      <c r="A32" s="1008"/>
      <c r="B32" s="1008"/>
      <c r="C32" s="813">
        <v>-457.94</v>
      </c>
      <c r="D32" s="813">
        <v>-69.56</v>
      </c>
      <c r="E32" s="813">
        <v>-8.56</v>
      </c>
      <c r="F32" s="813">
        <v>-146.91999999999999</v>
      </c>
    </row>
    <row r="33" spans="1:17" ht="6.75" customHeight="1" thickTop="1">
      <c r="A33" s="1016"/>
      <c r="B33" s="1016"/>
      <c r="C33" s="45"/>
      <c r="D33" s="45"/>
      <c r="E33" s="45"/>
      <c r="F33" s="45"/>
    </row>
    <row r="34" spans="1:17" ht="18.75" customHeight="1">
      <c r="A34" s="956" t="s">
        <v>631</v>
      </c>
      <c r="B34" s="956"/>
      <c r="C34" s="956"/>
      <c r="D34" s="956"/>
      <c r="E34" s="956"/>
      <c r="F34" s="956"/>
    </row>
    <row r="35" spans="1:17" ht="16.5" customHeight="1">
      <c r="A35" s="46"/>
      <c r="B35" s="762"/>
      <c r="C35" s="46"/>
      <c r="D35" s="762"/>
      <c r="E35" s="43"/>
    </row>
    <row r="36" spans="1:17" ht="16.5" customHeight="1">
      <c r="A36" s="46"/>
      <c r="B36" s="762"/>
      <c r="C36" s="46"/>
      <c r="D36" s="762"/>
      <c r="E36" s="43"/>
    </row>
    <row r="37" spans="1:17" ht="16.5" customHeight="1">
      <c r="A37" s="46"/>
      <c r="B37" s="762"/>
      <c r="C37" s="46"/>
      <c r="D37" s="762"/>
      <c r="E37" s="43"/>
    </row>
    <row r="38" spans="1:17" ht="16.5" customHeight="1">
      <c r="A38" s="46"/>
      <c r="B38" s="762"/>
      <c r="C38" s="46"/>
      <c r="D38" s="762"/>
      <c r="E38" s="43"/>
    </row>
    <row r="39" spans="1:17" ht="16.5" customHeight="1">
      <c r="A39" s="46"/>
      <c r="B39" s="762"/>
      <c r="C39" s="46"/>
      <c r="D39" s="762"/>
      <c r="E39" s="43"/>
    </row>
    <row r="40" spans="1:17" ht="15.75" customHeight="1">
      <c r="A40" s="46"/>
      <c r="B40" s="762"/>
      <c r="C40" s="46"/>
      <c r="D40" s="762"/>
      <c r="E40" s="43"/>
    </row>
    <row r="41" spans="1:17" ht="16.5" customHeight="1">
      <c r="A41" s="46"/>
      <c r="B41" s="762"/>
      <c r="C41" s="46"/>
      <c r="D41" s="762"/>
      <c r="E41" s="43"/>
    </row>
    <row r="42" spans="1:17" ht="16.5" customHeight="1">
      <c r="A42" s="46"/>
      <c r="B42" s="762"/>
      <c r="C42" s="46"/>
      <c r="D42" s="762"/>
      <c r="E42" s="43"/>
    </row>
    <row r="43" spans="1:17" ht="20.25" customHeight="1">
      <c r="A43" s="999" t="s">
        <v>287</v>
      </c>
      <c r="B43" s="999"/>
      <c r="C43" s="982"/>
      <c r="D43" s="982"/>
      <c r="E43" s="982"/>
      <c r="F43" s="153">
        <v>31</v>
      </c>
      <c r="G43" s="9"/>
      <c r="H43" s="9"/>
      <c r="I43" s="9"/>
      <c r="J43" s="9"/>
      <c r="K43" s="9"/>
      <c r="L43" s="9"/>
      <c r="M43" s="9"/>
      <c r="N43" s="9"/>
      <c r="O43" s="9"/>
      <c r="Q43" s="12"/>
    </row>
    <row r="44" spans="1:17" ht="36.75" customHeight="1">
      <c r="A44" s="996" t="s">
        <v>738</v>
      </c>
      <c r="B44" s="996"/>
      <c r="C44" s="996"/>
      <c r="D44" s="996"/>
      <c r="E44" s="996"/>
      <c r="F44" s="996"/>
    </row>
    <row r="45" spans="1:17" s="224" customFormat="1" ht="21" customHeight="1" thickBot="1">
      <c r="A45" s="1011" t="s">
        <v>319</v>
      </c>
      <c r="B45" s="1011"/>
      <c r="C45" s="1011"/>
      <c r="D45" s="1011"/>
      <c r="E45" s="1011"/>
      <c r="F45" s="1011"/>
    </row>
    <row r="46" spans="1:17" ht="34.5" customHeight="1" thickTop="1">
      <c r="A46" s="1012" t="s">
        <v>297</v>
      </c>
      <c r="B46" s="1012"/>
      <c r="C46" s="1009" t="s">
        <v>708</v>
      </c>
      <c r="D46" s="1009" t="s">
        <v>709</v>
      </c>
      <c r="E46" s="1009" t="s">
        <v>710</v>
      </c>
      <c r="F46" s="1009" t="s">
        <v>711</v>
      </c>
    </row>
    <row r="47" spans="1:17" ht="27" customHeight="1">
      <c r="A47" s="1013"/>
      <c r="B47" s="1013"/>
      <c r="C47" s="1010"/>
      <c r="D47" s="1010" t="s">
        <v>101</v>
      </c>
      <c r="E47" s="1010" t="s">
        <v>101</v>
      </c>
      <c r="F47" s="1010" t="s">
        <v>101</v>
      </c>
    </row>
    <row r="48" spans="1:17" ht="33" customHeight="1">
      <c r="A48" s="1024" t="s">
        <v>372</v>
      </c>
      <c r="B48" s="1024"/>
      <c r="C48" s="908">
        <v>244.5</v>
      </c>
      <c r="D48" s="909">
        <v>554.29</v>
      </c>
      <c r="E48" s="908">
        <v>395.5</v>
      </c>
      <c r="F48" s="910">
        <v>1915</v>
      </c>
    </row>
    <row r="49" spans="1:6" ht="33" customHeight="1">
      <c r="A49" s="1025" t="s">
        <v>373</v>
      </c>
      <c r="B49" s="1025"/>
      <c r="C49" s="911">
        <v>258.60000000000002</v>
      </c>
      <c r="D49" s="911">
        <v>856.9</v>
      </c>
      <c r="E49" s="911">
        <v>522.9</v>
      </c>
      <c r="F49" s="912">
        <v>522.20000000000005</v>
      </c>
    </row>
    <row r="50" spans="1:6" ht="33" customHeight="1">
      <c r="A50" s="1025"/>
      <c r="B50" s="1025"/>
      <c r="C50" s="913">
        <v>-5.766</v>
      </c>
      <c r="D50" s="914">
        <v>-54.59</v>
      </c>
      <c r="E50" s="913">
        <v>-32.219000000000001</v>
      </c>
      <c r="F50" s="906" t="s">
        <v>641</v>
      </c>
    </row>
    <row r="51" spans="1:6" ht="33" customHeight="1">
      <c r="A51" s="1025" t="s">
        <v>447</v>
      </c>
      <c r="B51" s="1025"/>
      <c r="C51" s="915">
        <v>234.9</v>
      </c>
      <c r="D51" s="916">
        <v>842.4</v>
      </c>
      <c r="E51" s="916">
        <v>554.29999999999995</v>
      </c>
      <c r="F51" s="917">
        <v>560</v>
      </c>
    </row>
    <row r="52" spans="1:6" ht="33" customHeight="1" thickBot="1">
      <c r="A52" s="1026"/>
      <c r="B52" s="1026"/>
      <c r="C52" s="918" t="s">
        <v>642</v>
      </c>
      <c r="D52" s="813">
        <v>-51.97</v>
      </c>
      <c r="E52" s="813">
        <v>-40.15</v>
      </c>
      <c r="F52" s="813" t="s">
        <v>643</v>
      </c>
    </row>
    <row r="53" spans="1:6" ht="17.25" customHeight="1" thickTop="1">
      <c r="A53" s="961"/>
      <c r="B53" s="961"/>
      <c r="C53" s="40"/>
      <c r="D53" s="40"/>
      <c r="E53" s="40"/>
      <c r="F53" s="40"/>
    </row>
    <row r="54" spans="1:6" ht="17.25" customHeight="1">
      <c r="A54" s="956" t="s">
        <v>631</v>
      </c>
      <c r="B54" s="956"/>
      <c r="C54" s="956"/>
      <c r="D54" s="956"/>
      <c r="E54" s="956"/>
      <c r="F54" s="956"/>
    </row>
    <row r="55" spans="1:6" ht="17.25" customHeight="1">
      <c r="A55" s="761"/>
      <c r="B55" s="761"/>
      <c r="C55" s="761"/>
      <c r="D55" s="761"/>
      <c r="E55" s="761"/>
      <c r="F55" s="761"/>
    </row>
    <row r="56" spans="1:6" ht="17.25" customHeight="1">
      <c r="A56" s="761"/>
      <c r="B56" s="761"/>
      <c r="C56" s="761"/>
      <c r="D56" s="71"/>
      <c r="E56" s="761"/>
      <c r="F56" s="761"/>
    </row>
    <row r="57" spans="1:6" ht="17.25" customHeight="1">
      <c r="A57" s="761"/>
      <c r="B57" s="761"/>
      <c r="C57" s="761"/>
      <c r="D57" s="761"/>
      <c r="E57" s="761"/>
      <c r="F57" s="761"/>
    </row>
    <row r="58" spans="1:6" ht="17.25" customHeight="1">
      <c r="A58" s="761"/>
      <c r="B58" s="761"/>
      <c r="C58" s="761"/>
      <c r="D58" s="761"/>
      <c r="E58" s="761"/>
      <c r="F58" s="761"/>
    </row>
    <row r="59" spans="1:6" ht="21.75" customHeight="1">
      <c r="A59" s="42"/>
      <c r="B59" s="71"/>
      <c r="C59" s="71"/>
      <c r="E59" s="43"/>
      <c r="F59" s="42"/>
    </row>
    <row r="60" spans="1:6" ht="21.75" customHeight="1"/>
    <row r="61" spans="1:6" ht="21.75" customHeight="1"/>
    <row r="62" spans="1:6" ht="21.75" customHeight="1">
      <c r="A62" s="42"/>
      <c r="B62" s="71"/>
      <c r="C62" s="71"/>
      <c r="E62" s="43"/>
      <c r="F62" s="42"/>
    </row>
    <row r="63" spans="1:6" ht="21.75" customHeight="1">
      <c r="A63" s="46"/>
      <c r="B63" s="43"/>
      <c r="E63" s="43"/>
      <c r="F63" s="42"/>
    </row>
    <row r="64" spans="1:6" ht="21.75" customHeight="1">
      <c r="A64" s="956"/>
      <c r="B64" s="956"/>
      <c r="C64" s="956"/>
      <c r="D64" s="956"/>
      <c r="E64" s="956"/>
      <c r="F64" s="956"/>
    </row>
    <row r="65" spans="1:17" ht="21.75" customHeight="1">
      <c r="A65" s="999" t="s">
        <v>287</v>
      </c>
      <c r="B65" s="999"/>
      <c r="C65" s="982"/>
      <c r="D65" s="982"/>
      <c r="E65" s="982"/>
      <c r="F65" s="153">
        <v>32</v>
      </c>
      <c r="G65" s="9"/>
      <c r="H65" s="9"/>
      <c r="I65" s="9"/>
      <c r="J65" s="9"/>
      <c r="K65" s="9"/>
      <c r="L65" s="9"/>
      <c r="M65" s="9"/>
      <c r="N65" s="9"/>
      <c r="O65" s="9"/>
      <c r="Q65" s="12"/>
    </row>
  </sheetData>
  <mergeCells count="51">
    <mergeCell ref="A53:B53"/>
    <mergeCell ref="A54:F54"/>
    <mergeCell ref="A64:F64"/>
    <mergeCell ref="A65:B65"/>
    <mergeCell ref="C65:E65"/>
    <mergeCell ref="A48:B48"/>
    <mergeCell ref="A49:B50"/>
    <mergeCell ref="A51:B52"/>
    <mergeCell ref="A43:B43"/>
    <mergeCell ref="C43:E43"/>
    <mergeCell ref="A45:F45"/>
    <mergeCell ref="A46:B47"/>
    <mergeCell ref="C46:C47"/>
    <mergeCell ref="D46:D47"/>
    <mergeCell ref="E46:E47"/>
    <mergeCell ref="F46:F47"/>
    <mergeCell ref="D14:E14"/>
    <mergeCell ref="A15:F15"/>
    <mergeCell ref="A25:B26"/>
    <mergeCell ref="C25:C26"/>
    <mergeCell ref="D25:D26"/>
    <mergeCell ref="E25:E26"/>
    <mergeCell ref="F25:F26"/>
    <mergeCell ref="A20:B20"/>
    <mergeCell ref="C20:E20"/>
    <mergeCell ref="A1:F1"/>
    <mergeCell ref="A8:B9"/>
    <mergeCell ref="A2:F2"/>
    <mergeCell ref="A6:B7"/>
    <mergeCell ref="A3:B4"/>
    <mergeCell ref="A5:B5"/>
    <mergeCell ref="F3:F4"/>
    <mergeCell ref="C3:C4"/>
    <mergeCell ref="D3:D4"/>
    <mergeCell ref="E3:E4"/>
    <mergeCell ref="A10:B11"/>
    <mergeCell ref="A44:F44"/>
    <mergeCell ref="A27:B28"/>
    <mergeCell ref="A29:B30"/>
    <mergeCell ref="C23:C24"/>
    <mergeCell ref="D23:D24"/>
    <mergeCell ref="E23:E24"/>
    <mergeCell ref="F23:F24"/>
    <mergeCell ref="A22:F22"/>
    <mergeCell ref="A23:B24"/>
    <mergeCell ref="A21:F21"/>
    <mergeCell ref="A12:B13"/>
    <mergeCell ref="A31:B32"/>
    <mergeCell ref="A33:B33"/>
    <mergeCell ref="A34:F34"/>
    <mergeCell ref="A14:B14"/>
  </mergeCells>
  <printOptions horizontalCentered="1"/>
  <pageMargins left="0.7" right="0.7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32</vt:i4>
      </vt:variant>
      <vt:variant>
        <vt:lpstr>نطاقات تمت تسميتها</vt:lpstr>
      </vt:variant>
      <vt:variant>
        <vt:i4>31</vt:i4>
      </vt:variant>
    </vt:vector>
  </HeadingPairs>
  <TitlesOfParts>
    <vt:vector size="6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laheeb</dc:creator>
  <cp:lastModifiedBy>Nada Hadi</cp:lastModifiedBy>
  <cp:lastPrinted>2018-11-12T09:13:26Z</cp:lastPrinted>
  <dcterms:created xsi:type="dcterms:W3CDTF">2013-05-13T09:11:50Z</dcterms:created>
  <dcterms:modified xsi:type="dcterms:W3CDTF">2018-11-21T07:27:14Z</dcterms:modified>
</cp:coreProperties>
</file>